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4.xml" ContentType="application/vnd.openxmlformats-officedocument.spreadsheetml.comments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5.xml" ContentType="application/vnd.openxmlformats-officedocument.spreadsheetml.comments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7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embeddings/oleObject12.bin" ContentType="application/vnd.openxmlformats-officedocument.oleObject"/>
  <Override PartName="/xl/comments10.xml" ContentType="application/vnd.openxmlformats-officedocument.spreadsheetml.comments+xml"/>
  <Override PartName="/xl/drawings/drawing21.xml" ContentType="application/vnd.openxmlformats-officedocument.drawing+xml"/>
  <Override PartName="/xl/embeddings/oleObject13.bin" ContentType="application/vnd.openxmlformats-officedocument.oleObject"/>
  <Override PartName="/xl/comments11.xml" ContentType="application/vnd.openxmlformats-officedocument.spreadsheetml.comments+xml"/>
  <Override PartName="/xl/drawings/drawing2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omments12.xml" ContentType="application/vnd.openxmlformats-officedocument.spreadsheetml.comments+xml"/>
  <Override PartName="/xl/drawings/drawing23.xml" ContentType="application/vnd.openxmlformats-officedocument.drawing+xml"/>
  <Override PartName="/xl/comments13.xml" ContentType="application/vnd.openxmlformats-officedocument.spreadsheetml.comments+xml"/>
  <Override PartName="/xl/charts/chart61.xml" ContentType="application/vnd.openxmlformats-officedocument.drawingml.chart+xml"/>
  <Override PartName="/xl/drawings/drawing24.xml" ContentType="application/vnd.openxmlformats-officedocument.drawing+xml"/>
  <Override PartName="/xl/comments14.xml" ContentType="application/vnd.openxmlformats-officedocument.spreadsheetml.comments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1-参与课题\中海油生命周期分析\项目启动\结题\2013\201307\"/>
    </mc:Choice>
  </mc:AlternateContent>
  <bookViews>
    <workbookView xWindow="120" yWindow="1176" windowWidth="12516" windowHeight="8088" tabRatio="830" firstSheet="10" activeTab="18"/>
  </bookViews>
  <sheets>
    <sheet name="Overview" sheetId="23" r:id="rId1"/>
    <sheet name="Key Input" sheetId="29" r:id="rId2"/>
    <sheet name="vehicle summary" sheetId="45" r:id="rId3"/>
    <sheet name="fuel summary" sheetId="30" r:id="rId4"/>
    <sheet name="NG-based" sheetId="25" r:id="rId5"/>
    <sheet name="NG-based (+1)" sheetId="31" r:id="rId6"/>
    <sheet name="NG-based (+2)" sheetId="32" r:id="rId7"/>
    <sheet name="Coal" sheetId="27" r:id="rId8"/>
    <sheet name="CtL" sheetId="3" r:id="rId9"/>
    <sheet name="CtL(CCS)" sheetId="7" r:id="rId10"/>
    <sheet name="Oil-based" sheetId="26" r:id="rId11"/>
    <sheet name="GridE" sheetId="21" r:id="rId12"/>
    <sheet name="LC for SE" sheetId="24" r:id="rId13"/>
    <sheet name="LC factor" sheetId="1" r:id="rId14"/>
    <sheet name="T&amp;D" sheetId="2" r:id="rId15"/>
    <sheet name="Overview (商用)" sheetId="33" r:id="rId16"/>
    <sheet name="Key Input (商用)" sheetId="34" r:id="rId17"/>
    <sheet name="LNG商用车结果 " sheetId="36" r:id="rId18"/>
    <sheet name="LNG船用结果" sheetId="37" r:id="rId19"/>
    <sheet name="PTW( for chart)" sheetId="42" state="hidden" r:id="rId20"/>
    <sheet name="WTP&amp;WTW (for chart)" sheetId="43" state="hidden" r:id="rId21"/>
    <sheet name="NG-based (chart)" sheetId="38" state="hidden" r:id="rId22"/>
    <sheet name="Biofuel(chart)" sheetId="39" state="hidden" r:id="rId23"/>
    <sheet name="Coal-based(chart)" sheetId="40" state="hidden" r:id="rId24"/>
    <sheet name="EV(chart)" sheetId="41" state="hidden" r:id="rId25"/>
    <sheet name="total(chart)" sheetId="35" state="hidden" r:id="rId26"/>
    <sheet name="CtE(CCS)" sheetId="4" state="hidden" r:id="rId27"/>
    <sheet name="SNG(CCS)" sheetId="13" state="hidden" r:id="rId28"/>
    <sheet name="WTPs" sheetId="14" state="hidden" r:id="rId29"/>
    <sheet name="Vehicle" sheetId="5" state="hidden" r:id="rId30"/>
    <sheet name="WTW-micro EV" sheetId="15" state="hidden" r:id="rId31"/>
    <sheet name="WTW-small EV" sheetId="22" state="hidden" r:id="rId32"/>
    <sheet name="WTW -small-ctl n SNG v" sheetId="16" state="hidden" r:id="rId33"/>
    <sheet name="CO2 t&amp;s" sheetId="20" state="hidden" r:id="rId34"/>
    <sheet name="Water" sheetId="17" state="hidden" r:id="rId35"/>
    <sheet name="PV" sheetId="18" state="hidden" r:id="rId36"/>
    <sheet name="PV data" sheetId="19" state="hidden" r:id="rId37"/>
  </sheets>
  <definedNames>
    <definedName name="_ftn1" localSheetId="16">'Key Input (商用)'!$E$20</definedName>
    <definedName name="_ftnref1" localSheetId="16">'Key Input (商用)'!$E$16</definedName>
    <definedName name="solver_adj" localSheetId="12" hidden="1">'LC for SE'!$O$17:$O$25,'LC for SE'!$R$17:$R$25,'LC for SE'!$U$17:$U$25,'LC for SE'!$Y$17:$Y$25,'LC for SE'!$AB$17:$AB$25,'LC for SE'!$AE$17:$AE$25</definedName>
    <definedName name="solver_cvg" localSheetId="12" hidden="1">0.0001</definedName>
    <definedName name="solver_drv" localSheetId="12" hidden="1">2</definedName>
    <definedName name="solver_eng" localSheetId="12" hidden="1">2</definedName>
    <definedName name="solver_est" localSheetId="12" hidden="1">1</definedName>
    <definedName name="solver_itr" localSheetId="12" hidden="1">2147483647</definedName>
    <definedName name="solver_lhs1" localSheetId="12" hidden="1">'LC for SE'!$AC$17:$AC$25</definedName>
    <definedName name="solver_lhs2" localSheetId="12" hidden="1">'LC for SE'!$AF$17:$AF$25</definedName>
    <definedName name="solver_lhs3" localSheetId="12" hidden="1">'LC for SE'!$P$17:$P$25</definedName>
    <definedName name="solver_lhs4" localSheetId="12" hidden="1">'LC for SE'!$S$17:$S$25</definedName>
    <definedName name="solver_lhs5" localSheetId="12" hidden="1">'LC for SE'!$V$17:$V$25</definedName>
    <definedName name="solver_lhs6" localSheetId="12" hidden="1">'LC for SE'!$Z$17:$Z$25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2</definedName>
    <definedName name="solver_nod" localSheetId="12" hidden="1">2147483647</definedName>
    <definedName name="solver_num" localSheetId="12" hidden="1">6</definedName>
    <definedName name="solver_nwt" localSheetId="12" hidden="1">1</definedName>
    <definedName name="solver_pre" localSheetId="12" hidden="1">0.000001</definedName>
    <definedName name="solver_rbv" localSheetId="12" hidden="1">2</definedName>
    <definedName name="solver_rel1" localSheetId="12" hidden="1">2</definedName>
    <definedName name="solver_rel2" localSheetId="12" hidden="1">2</definedName>
    <definedName name="solver_rel3" localSheetId="12" hidden="1">2</definedName>
    <definedName name="solver_rel4" localSheetId="12" hidden="1">2</definedName>
    <definedName name="solver_rel5" localSheetId="12" hidden="1">2</definedName>
    <definedName name="solver_rel6" localSheetId="12" hidden="1">2</definedName>
    <definedName name="solver_rhs1" localSheetId="12" hidden="1">'LC for SE'!$AH$17:$AH$25</definedName>
    <definedName name="solver_rhs2" localSheetId="12" hidden="1">'LC for SE'!$AH$17:$AH$25</definedName>
    <definedName name="solver_rhs3" localSheetId="12" hidden="1">'LC for SE'!$AH$17:$AH$25</definedName>
    <definedName name="solver_rhs4" localSheetId="12" hidden="1">'LC for SE'!$AH$17:$AH$25</definedName>
    <definedName name="solver_rhs5" localSheetId="12" hidden="1">'LC for SE'!$AH$17:$AH$25</definedName>
    <definedName name="solver_rhs6" localSheetId="12" hidden="1">'LC for SE'!$AH$17:$AH$25</definedName>
    <definedName name="solver_rlx" localSheetId="12" hidden="1">2</definedName>
    <definedName name="solver_rsd" localSheetId="12" hidden="1">0</definedName>
    <definedName name="solver_scl" localSheetId="12" hidden="1">2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3</definedName>
    <definedName name="solver_val" localSheetId="12" hidden="1">0</definedName>
    <definedName name="solver_ver" localSheetId="12" hidden="1">3</definedName>
  </definedNames>
  <calcPr calcId="152511"/>
</workbook>
</file>

<file path=xl/calcChain.xml><?xml version="1.0" encoding="utf-8"?>
<calcChain xmlns="http://schemas.openxmlformats.org/spreadsheetml/2006/main">
  <c r="H10" i="38" l="1"/>
  <c r="H9" i="38"/>
  <c r="H8" i="38"/>
  <c r="G10" i="38"/>
  <c r="G9" i="38"/>
  <c r="G8" i="38"/>
  <c r="E10" i="38"/>
  <c r="E9" i="38"/>
  <c r="E8" i="38"/>
  <c r="D10" i="38"/>
  <c r="D9" i="38"/>
  <c r="C10" i="38"/>
  <c r="C9" i="38"/>
  <c r="C8" i="38"/>
  <c r="D8" i="38"/>
  <c r="F10" i="38"/>
  <c r="F9" i="38"/>
  <c r="F8" i="38"/>
  <c r="D5" i="42"/>
  <c r="C5" i="42" s="1"/>
  <c r="C24" i="42"/>
  <c r="C23" i="42"/>
  <c r="C22" i="42"/>
  <c r="D22" i="42" s="1"/>
  <c r="C4" i="42"/>
  <c r="C17" i="42"/>
  <c r="C3" i="43"/>
  <c r="D15" i="7" l="1"/>
  <c r="D15" i="3"/>
  <c r="I63" i="21"/>
  <c r="I62" i="21"/>
  <c r="I61" i="21"/>
  <c r="I60" i="21"/>
  <c r="I58" i="21"/>
  <c r="I57" i="21"/>
  <c r="I56" i="21"/>
  <c r="I55" i="21"/>
  <c r="I52" i="21"/>
  <c r="I51" i="21"/>
  <c r="I50" i="21"/>
  <c r="I49" i="21"/>
  <c r="I47" i="21"/>
  <c r="I46" i="21"/>
  <c r="I45" i="21"/>
  <c r="I44" i="21"/>
  <c r="I41" i="21"/>
  <c r="I40" i="21"/>
  <c r="I39" i="21"/>
  <c r="I38" i="21"/>
  <c r="I36" i="21"/>
  <c r="I35" i="21"/>
  <c r="I34" i="21"/>
  <c r="I33" i="21"/>
  <c r="I30" i="21"/>
  <c r="I29" i="21"/>
  <c r="I28" i="21"/>
  <c r="I27" i="21"/>
  <c r="I23" i="21"/>
  <c r="I24" i="21"/>
  <c r="I25" i="21"/>
  <c r="I22" i="21"/>
  <c r="BE8" i="25" l="1"/>
  <c r="C7" i="2" l="1"/>
  <c r="C6" i="2"/>
  <c r="C5" i="2"/>
  <c r="B5" i="2"/>
  <c r="B7" i="2"/>
  <c r="B6" i="2"/>
  <c r="C8" i="2" l="1"/>
  <c r="D5" i="2" s="1"/>
  <c r="E27" i="29"/>
  <c r="I203" i="45" l="1"/>
  <c r="I202" i="45"/>
  <c r="I201" i="45"/>
  <c r="H150" i="45"/>
  <c r="H162" i="45" s="1"/>
  <c r="H174" i="45" s="1"/>
  <c r="I150" i="45"/>
  <c r="I162" i="45" s="1"/>
  <c r="I174" i="45" s="1"/>
  <c r="H32" i="21"/>
  <c r="H43" i="21" s="1"/>
  <c r="H54" i="21" s="1"/>
  <c r="H21" i="21"/>
  <c r="A175" i="45" s="1"/>
  <c r="D203" i="45" s="1"/>
  <c r="G21" i="21"/>
  <c r="G32" i="21" s="1"/>
  <c r="G43" i="21" s="1"/>
  <c r="G54" i="21" s="1"/>
  <c r="F21" i="21"/>
  <c r="A151" i="45" s="1"/>
  <c r="D201" i="45" s="1"/>
  <c r="D8" i="3"/>
  <c r="R7" i="32"/>
  <c r="AI7" i="31"/>
  <c r="Z7" i="31"/>
  <c r="R7" i="31"/>
  <c r="R7" i="25"/>
  <c r="E34" i="25"/>
  <c r="E29" i="25"/>
  <c r="J5" i="45"/>
  <c r="I3" i="45"/>
  <c r="P29" i="3"/>
  <c r="E8" i="3"/>
  <c r="K7" i="25"/>
  <c r="F32" i="21" l="1"/>
  <c r="F43" i="21" s="1"/>
  <c r="F54" i="21" s="1"/>
  <c r="A163" i="45"/>
  <c r="D202" i="45" s="1"/>
  <c r="I200" i="45"/>
  <c r="I199" i="45"/>
  <c r="I198" i="45"/>
  <c r="I197" i="45"/>
  <c r="D184" i="45"/>
  <c r="C187" i="45"/>
  <c r="C189" i="45"/>
  <c r="C190" i="45"/>
  <c r="C194" i="45"/>
  <c r="C195" i="45"/>
  <c r="C197" i="45"/>
  <c r="C186" i="45"/>
  <c r="A139" i="45" l="1"/>
  <c r="D200" i="45" s="1"/>
  <c r="A127" i="45"/>
  <c r="D199" i="45" s="1"/>
  <c r="A115" i="45"/>
  <c r="D198" i="45" s="1"/>
  <c r="A114" i="45"/>
  <c r="A126" i="45" s="1"/>
  <c r="A150" i="45" s="1"/>
  <c r="A174" i="45" s="1"/>
  <c r="A103" i="45"/>
  <c r="D197" i="45" s="1"/>
  <c r="A102" i="45"/>
  <c r="A91" i="45"/>
  <c r="D195" i="45" s="1"/>
  <c r="A80" i="45"/>
  <c r="D194" i="45" s="1"/>
  <c r="F90" i="45"/>
  <c r="G90" i="45"/>
  <c r="H90" i="45"/>
  <c r="I90" i="45"/>
  <c r="J90" i="45"/>
  <c r="E90" i="45"/>
  <c r="A90" i="45"/>
  <c r="F79" i="45"/>
  <c r="G79" i="45"/>
  <c r="H79" i="45"/>
  <c r="I79" i="45"/>
  <c r="J79" i="45"/>
  <c r="E79" i="45"/>
  <c r="A79" i="45"/>
  <c r="J68" i="45"/>
  <c r="J57" i="45"/>
  <c r="A69" i="45"/>
  <c r="D192" i="45" s="1"/>
  <c r="A58" i="45"/>
  <c r="D191" i="45" s="1"/>
  <c r="A47" i="45"/>
  <c r="D190" i="45" s="1"/>
  <c r="J46" i="45"/>
  <c r="N46" i="45" s="1"/>
  <c r="J35" i="45"/>
  <c r="A35" i="45"/>
  <c r="C25" i="45"/>
  <c r="C36" i="45" s="1"/>
  <c r="C47" i="45" s="1"/>
  <c r="C58" i="45" s="1"/>
  <c r="C69" i="45" s="1"/>
  <c r="C80" i="45" s="1"/>
  <c r="C91" i="45" s="1"/>
  <c r="C103" i="45" s="1"/>
  <c r="C115" i="45" s="1"/>
  <c r="C127" i="45" s="1"/>
  <c r="C139" i="45" s="1"/>
  <c r="C151" i="45" s="1"/>
  <c r="C163" i="45" s="1"/>
  <c r="C175" i="45" s="1"/>
  <c r="D25" i="45"/>
  <c r="D36" i="45" s="1"/>
  <c r="D47" i="45" s="1"/>
  <c r="D58" i="45" s="1"/>
  <c r="D69" i="45" s="1"/>
  <c r="D80" i="45" s="1"/>
  <c r="D91" i="45" s="1"/>
  <c r="D103" i="45" s="1"/>
  <c r="D115" i="45" s="1"/>
  <c r="D127" i="45" s="1"/>
  <c r="D139" i="45" s="1"/>
  <c r="D151" i="45" s="1"/>
  <c r="D163" i="45" s="1"/>
  <c r="D175" i="45" s="1"/>
  <c r="C26" i="45"/>
  <c r="C37" i="45" s="1"/>
  <c r="C48" i="45" s="1"/>
  <c r="C59" i="45" s="1"/>
  <c r="C70" i="45" s="1"/>
  <c r="C81" i="45" s="1"/>
  <c r="C92" i="45" s="1"/>
  <c r="C104" i="45" s="1"/>
  <c r="C116" i="45" s="1"/>
  <c r="C128" i="45" s="1"/>
  <c r="C140" i="45" s="1"/>
  <c r="C152" i="45" s="1"/>
  <c r="C164" i="45" s="1"/>
  <c r="C176" i="45" s="1"/>
  <c r="D26" i="45"/>
  <c r="D37" i="45" s="1"/>
  <c r="D48" i="45" s="1"/>
  <c r="D59" i="45" s="1"/>
  <c r="D70" i="45" s="1"/>
  <c r="D81" i="45" s="1"/>
  <c r="D92" i="45" s="1"/>
  <c r="D104" i="45" s="1"/>
  <c r="D116" i="45" s="1"/>
  <c r="D128" i="45" s="1"/>
  <c r="D140" i="45" s="1"/>
  <c r="D152" i="45" s="1"/>
  <c r="D164" i="45" s="1"/>
  <c r="D176" i="45" s="1"/>
  <c r="C27" i="45"/>
  <c r="C38" i="45" s="1"/>
  <c r="C49" i="45" s="1"/>
  <c r="C60" i="45" s="1"/>
  <c r="C71" i="45" s="1"/>
  <c r="C82" i="45" s="1"/>
  <c r="C93" i="45" s="1"/>
  <c r="C105" i="45" s="1"/>
  <c r="C117" i="45" s="1"/>
  <c r="C129" i="45" s="1"/>
  <c r="C141" i="45" s="1"/>
  <c r="C153" i="45" s="1"/>
  <c r="C165" i="45" s="1"/>
  <c r="C177" i="45" s="1"/>
  <c r="D27" i="45"/>
  <c r="D38" i="45" s="1"/>
  <c r="D49" i="45" s="1"/>
  <c r="D60" i="45" s="1"/>
  <c r="D71" i="45" s="1"/>
  <c r="D82" i="45" s="1"/>
  <c r="D93" i="45" s="1"/>
  <c r="D105" i="45" s="1"/>
  <c r="D117" i="45" s="1"/>
  <c r="D129" i="45" s="1"/>
  <c r="D141" i="45" s="1"/>
  <c r="D153" i="45" s="1"/>
  <c r="D165" i="45" s="1"/>
  <c r="D177" i="45" s="1"/>
  <c r="C28" i="45"/>
  <c r="C39" i="45" s="1"/>
  <c r="C50" i="45" s="1"/>
  <c r="C61" i="45" s="1"/>
  <c r="C72" i="45" s="1"/>
  <c r="C83" i="45" s="1"/>
  <c r="C94" i="45" s="1"/>
  <c r="C106" i="45" s="1"/>
  <c r="C118" i="45" s="1"/>
  <c r="C130" i="45" s="1"/>
  <c r="C142" i="45" s="1"/>
  <c r="C154" i="45" s="1"/>
  <c r="C166" i="45" s="1"/>
  <c r="C178" i="45" s="1"/>
  <c r="D28" i="45"/>
  <c r="D39" i="45" s="1"/>
  <c r="D50" i="45" s="1"/>
  <c r="D61" i="45" s="1"/>
  <c r="D72" i="45" s="1"/>
  <c r="D83" i="45" s="1"/>
  <c r="D94" i="45" s="1"/>
  <c r="D106" i="45" s="1"/>
  <c r="D118" i="45" s="1"/>
  <c r="D130" i="45" s="1"/>
  <c r="D142" i="45" s="1"/>
  <c r="D154" i="45" s="1"/>
  <c r="D166" i="45" s="1"/>
  <c r="D178" i="45" s="1"/>
  <c r="C30" i="45"/>
  <c r="C41" i="45" s="1"/>
  <c r="C52" i="45" s="1"/>
  <c r="C63" i="45" s="1"/>
  <c r="C74" i="45" s="1"/>
  <c r="C85" i="45" s="1"/>
  <c r="C96" i="45" s="1"/>
  <c r="C108" i="45" s="1"/>
  <c r="C120" i="45" s="1"/>
  <c r="C132" i="45" s="1"/>
  <c r="C144" i="45" s="1"/>
  <c r="C156" i="45" s="1"/>
  <c r="C168" i="45" s="1"/>
  <c r="C180" i="45" s="1"/>
  <c r="D30" i="45"/>
  <c r="D41" i="45" s="1"/>
  <c r="D52" i="45" s="1"/>
  <c r="D63" i="45" s="1"/>
  <c r="D74" i="45" s="1"/>
  <c r="D85" i="45" s="1"/>
  <c r="D96" i="45" s="1"/>
  <c r="D108" i="45" s="1"/>
  <c r="D120" i="45" s="1"/>
  <c r="D132" i="45" s="1"/>
  <c r="D144" i="45" s="1"/>
  <c r="D156" i="45" s="1"/>
  <c r="D168" i="45" s="1"/>
  <c r="D180" i="45" s="1"/>
  <c r="C31" i="45"/>
  <c r="C42" i="45" s="1"/>
  <c r="C53" i="45" s="1"/>
  <c r="C64" i="45" s="1"/>
  <c r="C75" i="45" s="1"/>
  <c r="C86" i="45" s="1"/>
  <c r="C97" i="45" s="1"/>
  <c r="C109" i="45" s="1"/>
  <c r="C121" i="45" s="1"/>
  <c r="C133" i="45" s="1"/>
  <c r="C145" i="45" s="1"/>
  <c r="C157" i="45" s="1"/>
  <c r="C169" i="45" s="1"/>
  <c r="C181" i="45" s="1"/>
  <c r="D31" i="45"/>
  <c r="D42" i="45" s="1"/>
  <c r="D53" i="45" s="1"/>
  <c r="D64" i="45" s="1"/>
  <c r="D75" i="45" s="1"/>
  <c r="D86" i="45" s="1"/>
  <c r="D97" i="45" s="1"/>
  <c r="D109" i="45" s="1"/>
  <c r="D121" i="45" s="1"/>
  <c r="D133" i="45" s="1"/>
  <c r="D145" i="45" s="1"/>
  <c r="D157" i="45" s="1"/>
  <c r="D169" i="45" s="1"/>
  <c r="D181" i="45" s="1"/>
  <c r="C32" i="45"/>
  <c r="C43" i="45" s="1"/>
  <c r="C54" i="45" s="1"/>
  <c r="C65" i="45" s="1"/>
  <c r="C76" i="45" s="1"/>
  <c r="C87" i="45" s="1"/>
  <c r="C98" i="45" s="1"/>
  <c r="C110" i="45" s="1"/>
  <c r="C122" i="45" s="1"/>
  <c r="C134" i="45" s="1"/>
  <c r="C146" i="45" s="1"/>
  <c r="C158" i="45" s="1"/>
  <c r="C170" i="45" s="1"/>
  <c r="C182" i="45" s="1"/>
  <c r="D32" i="45"/>
  <c r="D43" i="45" s="1"/>
  <c r="D54" i="45" s="1"/>
  <c r="D65" i="45" s="1"/>
  <c r="D76" i="45" s="1"/>
  <c r="D87" i="45" s="1"/>
  <c r="D98" i="45" s="1"/>
  <c r="D110" i="45" s="1"/>
  <c r="D122" i="45" s="1"/>
  <c r="D134" i="45" s="1"/>
  <c r="D146" i="45" s="1"/>
  <c r="D158" i="45" s="1"/>
  <c r="D170" i="45" s="1"/>
  <c r="D182" i="45" s="1"/>
  <c r="C33" i="45"/>
  <c r="C44" i="45" s="1"/>
  <c r="C55" i="45" s="1"/>
  <c r="C66" i="45" s="1"/>
  <c r="C77" i="45" s="1"/>
  <c r="C88" i="45" s="1"/>
  <c r="C99" i="45" s="1"/>
  <c r="C111" i="45" s="1"/>
  <c r="C123" i="45" s="1"/>
  <c r="C135" i="45" s="1"/>
  <c r="C147" i="45" s="1"/>
  <c r="C159" i="45" s="1"/>
  <c r="C171" i="45" s="1"/>
  <c r="C183" i="45" s="1"/>
  <c r="D33" i="45"/>
  <c r="D44" i="45" s="1"/>
  <c r="D55" i="45" s="1"/>
  <c r="D66" i="45" s="1"/>
  <c r="D77" i="45" s="1"/>
  <c r="D88" i="45" s="1"/>
  <c r="D99" i="45" s="1"/>
  <c r="D111" i="45" s="1"/>
  <c r="D123" i="45" s="1"/>
  <c r="D135" i="45" s="1"/>
  <c r="D147" i="45" s="1"/>
  <c r="D159" i="45" s="1"/>
  <c r="D171" i="45" s="1"/>
  <c r="D183" i="45" s="1"/>
  <c r="C7" i="45"/>
  <c r="B7" i="45" s="1"/>
  <c r="B9" i="45"/>
  <c r="C9" i="45" s="1"/>
  <c r="C5" i="45"/>
  <c r="B5" i="45" s="1"/>
  <c r="C4" i="45"/>
  <c r="C8" i="45" s="1"/>
  <c r="B8" i="45" s="1"/>
  <c r="D8" i="45"/>
  <c r="E8" i="45"/>
  <c r="G3" i="45"/>
  <c r="F3" i="45" s="1"/>
  <c r="H3" i="45" s="1"/>
  <c r="C3" i="45"/>
  <c r="H3" i="42"/>
  <c r="D9" i="42"/>
  <c r="O31" i="29"/>
  <c r="O27" i="29"/>
  <c r="N24" i="29"/>
  <c r="N29" i="29" s="1"/>
  <c r="K25" i="29" s="1"/>
  <c r="E25" i="29" s="1"/>
  <c r="C6" i="45" l="1"/>
  <c r="F6" i="45" s="1"/>
  <c r="A138" i="45"/>
  <c r="A162" i="45" s="1"/>
  <c r="F5" i="45"/>
  <c r="F8" i="45"/>
  <c r="G8" i="45" s="1"/>
  <c r="F4" i="45"/>
  <c r="G9" i="45"/>
  <c r="F7" i="45"/>
  <c r="G7" i="45" s="1"/>
  <c r="C152" i="30"/>
  <c r="C164" i="30" s="1"/>
  <c r="C176" i="30" s="1"/>
  <c r="C188" i="30" s="1"/>
  <c r="C200" i="30" s="1"/>
  <c r="C212" i="30" s="1"/>
  <c r="C224" i="30" s="1"/>
  <c r="D152" i="30"/>
  <c r="D164" i="30" s="1"/>
  <c r="D176" i="30" s="1"/>
  <c r="D188" i="30" s="1"/>
  <c r="D200" i="30" s="1"/>
  <c r="D212" i="30" s="1"/>
  <c r="D224" i="30" s="1"/>
  <c r="B152" i="30"/>
  <c r="B164" i="30" s="1"/>
  <c r="B176" i="30" s="1"/>
  <c r="B188" i="30" s="1"/>
  <c r="B200" i="30" s="1"/>
  <c r="B212" i="30" s="1"/>
  <c r="B224" i="30" s="1"/>
  <c r="G143" i="30"/>
  <c r="F143" i="30"/>
  <c r="E143" i="30"/>
  <c r="I143" i="30"/>
  <c r="C144" i="30"/>
  <c r="C156" i="30" s="1"/>
  <c r="C168" i="30" s="1"/>
  <c r="C180" i="30" s="1"/>
  <c r="C192" i="30" s="1"/>
  <c r="C204" i="30" s="1"/>
  <c r="C216" i="30" s="1"/>
  <c r="D144" i="30"/>
  <c r="D156" i="30" s="1"/>
  <c r="D168" i="30" s="1"/>
  <c r="D180" i="30" s="1"/>
  <c r="D192" i="30" s="1"/>
  <c r="D204" i="30" s="1"/>
  <c r="D216" i="30" s="1"/>
  <c r="C145" i="30"/>
  <c r="C157" i="30" s="1"/>
  <c r="C169" i="30" s="1"/>
  <c r="C181" i="30" s="1"/>
  <c r="C193" i="30" s="1"/>
  <c r="C205" i="30" s="1"/>
  <c r="C217" i="30" s="1"/>
  <c r="D145" i="30"/>
  <c r="D157" i="30" s="1"/>
  <c r="D169" i="30" s="1"/>
  <c r="D181" i="30" s="1"/>
  <c r="D193" i="30" s="1"/>
  <c r="D205" i="30" s="1"/>
  <c r="D217" i="30" s="1"/>
  <c r="C146" i="30"/>
  <c r="C158" i="30" s="1"/>
  <c r="C170" i="30" s="1"/>
  <c r="C182" i="30" s="1"/>
  <c r="C194" i="30" s="1"/>
  <c r="C206" i="30" s="1"/>
  <c r="C218" i="30" s="1"/>
  <c r="D146" i="30"/>
  <c r="D158" i="30" s="1"/>
  <c r="D170" i="30" s="1"/>
  <c r="D182" i="30" s="1"/>
  <c r="D194" i="30" s="1"/>
  <c r="D206" i="30" s="1"/>
  <c r="D218" i="30" s="1"/>
  <c r="C147" i="30"/>
  <c r="C159" i="30" s="1"/>
  <c r="C171" i="30" s="1"/>
  <c r="C183" i="30" s="1"/>
  <c r="C195" i="30" s="1"/>
  <c r="C207" i="30" s="1"/>
  <c r="C219" i="30" s="1"/>
  <c r="D147" i="30"/>
  <c r="D159" i="30" s="1"/>
  <c r="D171" i="30" s="1"/>
  <c r="D183" i="30" s="1"/>
  <c r="D195" i="30" s="1"/>
  <c r="D207" i="30" s="1"/>
  <c r="D219" i="30" s="1"/>
  <c r="C149" i="30"/>
  <c r="C161" i="30" s="1"/>
  <c r="C173" i="30" s="1"/>
  <c r="C185" i="30" s="1"/>
  <c r="C197" i="30" s="1"/>
  <c r="C209" i="30" s="1"/>
  <c r="C221" i="30" s="1"/>
  <c r="D149" i="30"/>
  <c r="D161" i="30" s="1"/>
  <c r="D173" i="30" s="1"/>
  <c r="D185" i="30" s="1"/>
  <c r="D197" i="30" s="1"/>
  <c r="D209" i="30" s="1"/>
  <c r="D221" i="30" s="1"/>
  <c r="C150" i="30"/>
  <c r="C162" i="30" s="1"/>
  <c r="C174" i="30" s="1"/>
  <c r="C186" i="30" s="1"/>
  <c r="C198" i="30" s="1"/>
  <c r="C210" i="30" s="1"/>
  <c r="C222" i="30" s="1"/>
  <c r="D150" i="30"/>
  <c r="D162" i="30" s="1"/>
  <c r="D174" i="30" s="1"/>
  <c r="D186" i="30" s="1"/>
  <c r="D198" i="30" s="1"/>
  <c r="D210" i="30" s="1"/>
  <c r="D222" i="30" s="1"/>
  <c r="C151" i="30"/>
  <c r="C163" i="30" s="1"/>
  <c r="C175" i="30" s="1"/>
  <c r="C187" i="30" s="1"/>
  <c r="C199" i="30" s="1"/>
  <c r="C211" i="30" s="1"/>
  <c r="C223" i="30" s="1"/>
  <c r="D151" i="30"/>
  <c r="D163" i="30" s="1"/>
  <c r="D175" i="30" s="1"/>
  <c r="D187" i="30" s="1"/>
  <c r="D199" i="30" s="1"/>
  <c r="D211" i="30" s="1"/>
  <c r="D223" i="30" s="1"/>
  <c r="B150" i="30"/>
  <c r="B162" i="30" s="1"/>
  <c r="B174" i="30" s="1"/>
  <c r="B186" i="30" s="1"/>
  <c r="B198" i="30" s="1"/>
  <c r="B210" i="30" s="1"/>
  <c r="B222" i="30" s="1"/>
  <c r="B151" i="30"/>
  <c r="B163" i="30" s="1"/>
  <c r="B175" i="30" s="1"/>
  <c r="B187" i="30" s="1"/>
  <c r="B199" i="30" s="1"/>
  <c r="B211" i="30" s="1"/>
  <c r="B223" i="30" s="1"/>
  <c r="B144" i="30"/>
  <c r="B156" i="30" s="1"/>
  <c r="B168" i="30" s="1"/>
  <c r="B180" i="30" s="1"/>
  <c r="B192" i="30" s="1"/>
  <c r="B204" i="30" s="1"/>
  <c r="B216" i="30" s="1"/>
  <c r="B145" i="30"/>
  <c r="B157" i="30" s="1"/>
  <c r="B169" i="30" s="1"/>
  <c r="B181" i="30" s="1"/>
  <c r="B193" i="30" s="1"/>
  <c r="B205" i="30" s="1"/>
  <c r="B217" i="30" s="1"/>
  <c r="B146" i="30"/>
  <c r="B158" i="30" s="1"/>
  <c r="B170" i="30" s="1"/>
  <c r="B182" i="30" s="1"/>
  <c r="B194" i="30" s="1"/>
  <c r="B206" i="30" s="1"/>
  <c r="B218" i="30" s="1"/>
  <c r="B147" i="30"/>
  <c r="B159" i="30" s="1"/>
  <c r="B171" i="30" s="1"/>
  <c r="B183" i="30" s="1"/>
  <c r="B195" i="30" s="1"/>
  <c r="B207" i="30" s="1"/>
  <c r="B219" i="30" s="1"/>
  <c r="B149" i="30"/>
  <c r="B161" i="30" s="1"/>
  <c r="B173" i="30" s="1"/>
  <c r="B185" i="30" s="1"/>
  <c r="B197" i="30" s="1"/>
  <c r="B209" i="30" s="1"/>
  <c r="B221" i="30" s="1"/>
  <c r="AI25" i="24"/>
  <c r="O12" i="1" s="1"/>
  <c r="T12" i="24"/>
  <c r="T11" i="24"/>
  <c r="R14" i="21"/>
  <c r="Q15" i="21"/>
  <c r="R13" i="21" s="1"/>
  <c r="D21" i="21"/>
  <c r="D32" i="21" s="1"/>
  <c r="D43" i="21" s="1"/>
  <c r="D54" i="21" s="1"/>
  <c r="E21" i="21"/>
  <c r="E32" i="21" s="1"/>
  <c r="E43" i="21" s="1"/>
  <c r="E54" i="21" s="1"/>
  <c r="I21" i="21"/>
  <c r="I32" i="21" s="1"/>
  <c r="I43" i="21" s="1"/>
  <c r="I54" i="21" s="1"/>
  <c r="C21" i="21"/>
  <c r="A30" i="21"/>
  <c r="A41" i="21" s="1"/>
  <c r="A52" i="21" s="1"/>
  <c r="A63" i="21" s="1"/>
  <c r="A36" i="21"/>
  <c r="A47" i="21" s="1"/>
  <c r="A58" i="21" s="1"/>
  <c r="A28" i="21"/>
  <c r="A39" i="21" s="1"/>
  <c r="A50" i="21" s="1"/>
  <c r="A61" i="21" s="1"/>
  <c r="A29" i="21"/>
  <c r="A40" i="21" s="1"/>
  <c r="A51" i="21" s="1"/>
  <c r="A62" i="21" s="1"/>
  <c r="A27" i="21"/>
  <c r="A38" i="21" s="1"/>
  <c r="A49" i="21" s="1"/>
  <c r="A60" i="21" s="1"/>
  <c r="A25" i="21"/>
  <c r="A22" i="21"/>
  <c r="A33" i="21" s="1"/>
  <c r="A44" i="21" s="1"/>
  <c r="A55" i="21" s="1"/>
  <c r="A23" i="21"/>
  <c r="A34" i="21" s="1"/>
  <c r="A45" i="21" s="1"/>
  <c r="A56" i="21" s="1"/>
  <c r="A24" i="21"/>
  <c r="A35" i="21" s="1"/>
  <c r="A46" i="21" s="1"/>
  <c r="A57" i="21" s="1"/>
  <c r="I289" i="30"/>
  <c r="H289" i="30"/>
  <c r="G289" i="30"/>
  <c r="F289" i="30"/>
  <c r="E289" i="30"/>
  <c r="F276" i="30"/>
  <c r="G276" i="30"/>
  <c r="H276" i="30"/>
  <c r="I276" i="30"/>
  <c r="E276" i="30"/>
  <c r="J275" i="30"/>
  <c r="J274" i="30"/>
  <c r="J273" i="30"/>
  <c r="J270" i="30"/>
  <c r="J269" i="30"/>
  <c r="J268" i="30"/>
  <c r="I271" i="30"/>
  <c r="H271" i="30"/>
  <c r="G271" i="30"/>
  <c r="F271" i="30"/>
  <c r="E271" i="30"/>
  <c r="R12" i="21" l="1"/>
  <c r="C32" i="21"/>
  <c r="C43" i="21" s="1"/>
  <c r="C54" i="21" s="1"/>
  <c r="B6" i="45"/>
  <c r="E155" i="30"/>
  <c r="E102" i="45"/>
  <c r="F155" i="30"/>
  <c r="F102" i="45"/>
  <c r="G155" i="30"/>
  <c r="G102" i="45"/>
  <c r="I155" i="30"/>
  <c r="J102" i="45"/>
  <c r="H4" i="45"/>
  <c r="H7" i="45"/>
  <c r="H9" i="45"/>
  <c r="H5" i="45"/>
  <c r="H6" i="45"/>
  <c r="H8" i="45"/>
  <c r="J271" i="30"/>
  <c r="J276" i="30"/>
  <c r="H135" i="45" l="1"/>
  <c r="H130" i="45"/>
  <c r="H133" i="45"/>
  <c r="H128" i="45"/>
  <c r="H132" i="45"/>
  <c r="H127" i="45"/>
  <c r="H134" i="45"/>
  <c r="H129" i="45"/>
  <c r="H182" i="45"/>
  <c r="H177" i="45"/>
  <c r="H171" i="45"/>
  <c r="H202" i="45" s="1"/>
  <c r="H166" i="45"/>
  <c r="H159" i="45"/>
  <c r="H201" i="45" s="1"/>
  <c r="H154" i="45"/>
  <c r="H180" i="45"/>
  <c r="H169" i="45"/>
  <c r="H164" i="45"/>
  <c r="H157" i="45"/>
  <c r="H178" i="45"/>
  <c r="H163" i="45"/>
  <c r="H151" i="45"/>
  <c r="H181" i="45"/>
  <c r="H176" i="45"/>
  <c r="H170" i="45"/>
  <c r="H165" i="45"/>
  <c r="H158" i="45"/>
  <c r="H153" i="45"/>
  <c r="H175" i="45"/>
  <c r="H152" i="45"/>
  <c r="H183" i="45"/>
  <c r="H203" i="45" s="1"/>
  <c r="H168" i="45"/>
  <c r="H156" i="45"/>
  <c r="I167" i="30"/>
  <c r="J114" i="45"/>
  <c r="F167" i="30"/>
  <c r="F114" i="45"/>
  <c r="G167" i="30"/>
  <c r="G114" i="45"/>
  <c r="E167" i="30"/>
  <c r="E114" i="45"/>
  <c r="H145" i="45"/>
  <c r="H140" i="45"/>
  <c r="H121" i="45"/>
  <c r="H116" i="45"/>
  <c r="H199" i="45"/>
  <c r="H118" i="45"/>
  <c r="H146" i="45"/>
  <c r="H141" i="45"/>
  <c r="H122" i="45"/>
  <c r="H117" i="45"/>
  <c r="H147" i="45"/>
  <c r="H200" i="45" s="1"/>
  <c r="H142" i="45"/>
  <c r="H123" i="45"/>
  <c r="H198" i="45" s="1"/>
  <c r="H144" i="45"/>
  <c r="H139" i="45"/>
  <c r="H120" i="45"/>
  <c r="H115" i="45"/>
  <c r="F99" i="45"/>
  <c r="F195" i="45" s="1"/>
  <c r="H98" i="45"/>
  <c r="F97" i="45"/>
  <c r="H96" i="45"/>
  <c r="F91" i="45"/>
  <c r="I92" i="45"/>
  <c r="H93" i="45"/>
  <c r="E92" i="45"/>
  <c r="H99" i="45"/>
  <c r="H195" i="45" s="1"/>
  <c r="F98" i="45"/>
  <c r="H97" i="45"/>
  <c r="F96" i="45"/>
  <c r="H91" i="45"/>
  <c r="G92" i="45"/>
  <c r="F93" i="45"/>
  <c r="I99" i="45"/>
  <c r="I195" i="45" s="1"/>
  <c r="G98" i="45"/>
  <c r="E97" i="45"/>
  <c r="G91" i="45"/>
  <c r="E99" i="45"/>
  <c r="E195" i="45" s="1"/>
  <c r="I97" i="45"/>
  <c r="G96" i="45"/>
  <c r="F92" i="45"/>
  <c r="I93" i="45"/>
  <c r="E93" i="45"/>
  <c r="I98" i="45"/>
  <c r="G97" i="45"/>
  <c r="E96" i="45"/>
  <c r="H92" i="45"/>
  <c r="E91" i="45"/>
  <c r="G99" i="45"/>
  <c r="G195" i="45" s="1"/>
  <c r="G93" i="45"/>
  <c r="E98" i="45"/>
  <c r="I96" i="45"/>
  <c r="I91" i="45"/>
  <c r="F65" i="45"/>
  <c r="F63" i="45"/>
  <c r="F60" i="45"/>
  <c r="F66" i="45"/>
  <c r="F191" i="45" s="1"/>
  <c r="F64" i="45"/>
  <c r="F58" i="45"/>
  <c r="F59" i="45"/>
  <c r="F61" i="45"/>
  <c r="H108" i="45"/>
  <c r="H110" i="45"/>
  <c r="H103" i="45"/>
  <c r="H104" i="45"/>
  <c r="H105" i="45"/>
  <c r="H106" i="45"/>
  <c r="H111" i="45"/>
  <c r="H197" i="45" s="1"/>
  <c r="H109" i="45"/>
  <c r="I88" i="45"/>
  <c r="I194" i="45" s="1"/>
  <c r="E88" i="45"/>
  <c r="E194" i="45" s="1"/>
  <c r="G87" i="45"/>
  <c r="I86" i="45"/>
  <c r="E86" i="45"/>
  <c r="G85" i="45"/>
  <c r="G80" i="45"/>
  <c r="F81" i="45"/>
  <c r="J81" i="45"/>
  <c r="I82" i="45"/>
  <c r="H83" i="45"/>
  <c r="E82" i="45"/>
  <c r="G88" i="45"/>
  <c r="G194" i="45" s="1"/>
  <c r="I87" i="45"/>
  <c r="E87" i="45"/>
  <c r="G86" i="45"/>
  <c r="I85" i="45"/>
  <c r="E85" i="45"/>
  <c r="I80" i="45"/>
  <c r="H81" i="45"/>
  <c r="G82" i="45"/>
  <c r="F83" i="45"/>
  <c r="J83" i="45"/>
  <c r="E80" i="45"/>
  <c r="H88" i="45"/>
  <c r="H194" i="45" s="1"/>
  <c r="F87" i="45"/>
  <c r="J85" i="45"/>
  <c r="H80" i="45"/>
  <c r="F82" i="45"/>
  <c r="I83" i="45"/>
  <c r="J87" i="45"/>
  <c r="H86" i="45"/>
  <c r="F85" i="45"/>
  <c r="G81" i="45"/>
  <c r="J82" i="45"/>
  <c r="E83" i="45"/>
  <c r="J88" i="45"/>
  <c r="H87" i="45"/>
  <c r="F86" i="45"/>
  <c r="F80" i="45"/>
  <c r="I81" i="45"/>
  <c r="G83" i="45"/>
  <c r="H85" i="45"/>
  <c r="J80" i="45"/>
  <c r="F88" i="45"/>
  <c r="F194" i="45" s="1"/>
  <c r="H82" i="45"/>
  <c r="J86" i="45"/>
  <c r="E81" i="45"/>
  <c r="I284" i="30"/>
  <c r="I94" i="45" s="1"/>
  <c r="H284" i="30"/>
  <c r="H94" i="45" s="1"/>
  <c r="J194" i="45" l="1"/>
  <c r="E179" i="30"/>
  <c r="E191" i="30" s="1"/>
  <c r="E203" i="30" s="1"/>
  <c r="E215" i="30" s="1"/>
  <c r="E126" i="45"/>
  <c r="F179" i="30"/>
  <c r="F191" i="30" s="1"/>
  <c r="F203" i="30" s="1"/>
  <c r="F215" i="30" s="1"/>
  <c r="F126" i="45"/>
  <c r="G179" i="30"/>
  <c r="G191" i="30" s="1"/>
  <c r="G203" i="30" s="1"/>
  <c r="G215" i="30" s="1"/>
  <c r="G126" i="45"/>
  <c r="I179" i="30"/>
  <c r="J126" i="45"/>
  <c r="J195" i="45"/>
  <c r="J288" i="30"/>
  <c r="J98" i="45" s="1"/>
  <c r="J287" i="30"/>
  <c r="J97" i="45" s="1"/>
  <c r="J283" i="30"/>
  <c r="J93" i="45" s="1"/>
  <c r="J282" i="30"/>
  <c r="J92" i="45" s="1"/>
  <c r="E284" i="30"/>
  <c r="E94" i="45" s="1"/>
  <c r="G284" i="30"/>
  <c r="G94" i="45" s="1"/>
  <c r="F284" i="30"/>
  <c r="F94" i="45" s="1"/>
  <c r="J286" i="30"/>
  <c r="J281" i="30"/>
  <c r="J91" i="45" s="1"/>
  <c r="H254" i="30"/>
  <c r="H260" i="30"/>
  <c r="H261" i="30"/>
  <c r="S45" i="7"/>
  <c r="J261" i="30" s="1"/>
  <c r="S44" i="7"/>
  <c r="J260" i="30" s="1"/>
  <c r="S39" i="7"/>
  <c r="J255" i="30" s="1"/>
  <c r="S40" i="7"/>
  <c r="J256" i="30" s="1"/>
  <c r="S38" i="7"/>
  <c r="J254" i="30" s="1"/>
  <c r="P39" i="7"/>
  <c r="G255" i="30" s="1"/>
  <c r="P40" i="7"/>
  <c r="G256" i="30" s="1"/>
  <c r="P38" i="7"/>
  <c r="G254" i="30" s="1"/>
  <c r="Q37" i="7"/>
  <c r="Q39" i="7"/>
  <c r="H255" i="30" s="1"/>
  <c r="Q40" i="7"/>
  <c r="H256" i="30" s="1"/>
  <c r="Q44" i="7"/>
  <c r="Q45" i="7"/>
  <c r="T37" i="7"/>
  <c r="P37" i="7"/>
  <c r="R37" i="7"/>
  <c r="I248" i="30"/>
  <c r="I247" i="30"/>
  <c r="G241" i="30"/>
  <c r="I241" i="30"/>
  <c r="I242" i="30"/>
  <c r="I243" i="30"/>
  <c r="R32" i="3"/>
  <c r="I244" i="30" s="1"/>
  <c r="P30" i="3"/>
  <c r="G242" i="30" s="1"/>
  <c r="P31" i="3"/>
  <c r="G243" i="30" s="1"/>
  <c r="G253" i="30"/>
  <c r="H253" i="30"/>
  <c r="I253" i="30"/>
  <c r="K253" i="30"/>
  <c r="G240" i="30"/>
  <c r="H240" i="30"/>
  <c r="I240" i="30"/>
  <c r="J240" i="30"/>
  <c r="G228" i="30"/>
  <c r="G229" i="30"/>
  <c r="G230" i="30"/>
  <c r="F227" i="30"/>
  <c r="G227" i="30"/>
  <c r="E227" i="30"/>
  <c r="AD3" i="43"/>
  <c r="J138" i="45" l="1"/>
  <c r="J150" i="45" s="1"/>
  <c r="J162" i="45" s="1"/>
  <c r="J174" i="45" s="1"/>
  <c r="I191" i="30"/>
  <c r="I203" i="30" s="1"/>
  <c r="I215" i="30" s="1"/>
  <c r="F138" i="45"/>
  <c r="F150" i="45" s="1"/>
  <c r="F162" i="45" s="1"/>
  <c r="F174" i="45" s="1"/>
  <c r="G138" i="45"/>
  <c r="G150" i="45" s="1"/>
  <c r="G162" i="45" s="1"/>
  <c r="G174" i="45" s="1"/>
  <c r="E138" i="45"/>
  <c r="E150" i="45" s="1"/>
  <c r="E162" i="45" s="1"/>
  <c r="E174" i="45" s="1"/>
  <c r="S41" i="7"/>
  <c r="J257" i="30" s="1"/>
  <c r="J289" i="30"/>
  <c r="J99" i="45" s="1"/>
  <c r="J96" i="45"/>
  <c r="P41" i="7"/>
  <c r="G257" i="30" s="1"/>
  <c r="Q41" i="7"/>
  <c r="H257" i="30" s="1"/>
  <c r="J284" i="30"/>
  <c r="J94" i="45" s="1"/>
  <c r="AV18" i="32"/>
  <c r="AV21" i="32" s="1"/>
  <c r="AL18" i="32"/>
  <c r="AL21" i="32" s="1"/>
  <c r="AD18" i="32"/>
  <c r="AD21" i="32" s="1"/>
  <c r="T18" i="32"/>
  <c r="T21" i="32" s="1"/>
  <c r="L18" i="32"/>
  <c r="L21" i="32" s="1"/>
  <c r="AV18" i="31"/>
  <c r="AV21" i="31" s="1"/>
  <c r="AL18" i="31"/>
  <c r="AL21" i="31" s="1"/>
  <c r="AD18" i="31"/>
  <c r="AD21" i="31" s="1"/>
  <c r="T18" i="31"/>
  <c r="T21" i="31" s="1"/>
  <c r="L18" i="31"/>
  <c r="L21" i="31" s="1"/>
  <c r="BF21" i="25"/>
  <c r="AL21" i="25"/>
  <c r="I57" i="30" s="1"/>
  <c r="I66" i="45" s="1"/>
  <c r="I191" i="45" s="1"/>
  <c r="AE8" i="24"/>
  <c r="AL18" i="25"/>
  <c r="AV18" i="25" s="1"/>
  <c r="AV21" i="25" s="1"/>
  <c r="AD21" i="25"/>
  <c r="AE7" i="24"/>
  <c r="L18" i="25" s="1"/>
  <c r="T18" i="25" s="1"/>
  <c r="AD18" i="25" s="1"/>
  <c r="X3" i="26"/>
  <c r="P3" i="26"/>
  <c r="H3" i="26"/>
  <c r="L4" i="29"/>
  <c r="C7" i="26" s="1"/>
  <c r="T21" i="25" l="1"/>
  <c r="L21" i="25"/>
  <c r="AI18" i="24"/>
  <c r="AI19" i="24"/>
  <c r="AI20" i="24"/>
  <c r="AI21" i="24"/>
  <c r="AI22" i="24"/>
  <c r="AI23" i="24"/>
  <c r="AI24" i="24"/>
  <c r="AI17" i="24"/>
  <c r="I47" i="26" l="1"/>
  <c r="C47" i="26"/>
  <c r="C26" i="26"/>
  <c r="AD4" i="43"/>
  <c r="AD5" i="43"/>
  <c r="AD6" i="43"/>
  <c r="AD7" i="43"/>
  <c r="AD8" i="43"/>
  <c r="L10" i="43"/>
  <c r="M10" i="43"/>
  <c r="N10" i="43"/>
  <c r="T10" i="43"/>
  <c r="AF10" i="43" s="1"/>
  <c r="C6" i="38" s="1"/>
  <c r="D10" i="35" s="1"/>
  <c r="X10" i="43"/>
  <c r="AD10" i="43"/>
  <c r="T16" i="43"/>
  <c r="L18" i="43"/>
  <c r="M18" i="43"/>
  <c r="N18" i="43"/>
  <c r="T18" i="43"/>
  <c r="X18" i="43"/>
  <c r="AC18" i="43"/>
  <c r="AD18" i="43" s="1"/>
  <c r="L19" i="43"/>
  <c r="M19" i="43"/>
  <c r="N19" i="43"/>
  <c r="T19" i="43"/>
  <c r="X19" i="43"/>
  <c r="L21" i="43"/>
  <c r="M21" i="43"/>
  <c r="N21" i="43"/>
  <c r="T21" i="43"/>
  <c r="X21" i="43"/>
  <c r="J23" i="43"/>
  <c r="L23" i="43" s="1"/>
  <c r="K23" i="43"/>
  <c r="M23" i="43" s="1"/>
  <c r="N23" i="43"/>
  <c r="R23" i="43"/>
  <c r="X23" i="43" s="1"/>
  <c r="T23" i="43"/>
  <c r="J24" i="43"/>
  <c r="L24" i="43" s="1"/>
  <c r="K24" i="43"/>
  <c r="N24" i="43"/>
  <c r="R24" i="43"/>
  <c r="X24" i="43" s="1"/>
  <c r="T24" i="43"/>
  <c r="J25" i="43"/>
  <c r="K25" i="43"/>
  <c r="J26" i="43"/>
  <c r="L26" i="43" s="1"/>
  <c r="K26" i="43"/>
  <c r="N26" i="43"/>
  <c r="R26" i="43"/>
  <c r="X26" i="43" s="1"/>
  <c r="T26" i="43"/>
  <c r="AJ27" i="43"/>
  <c r="AK27" i="43"/>
  <c r="AJ28" i="43"/>
  <c r="AK28" i="43"/>
  <c r="I29" i="43"/>
  <c r="L29" i="43" s="1"/>
  <c r="AC29" i="43"/>
  <c r="I30" i="43"/>
  <c r="L30" i="43" s="1"/>
  <c r="I31" i="43"/>
  <c r="M31" i="43" s="1"/>
  <c r="L32" i="43"/>
  <c r="M32" i="43"/>
  <c r="T32" i="43"/>
  <c r="I33" i="43"/>
  <c r="L33" i="43" s="1"/>
  <c r="J33" i="43"/>
  <c r="K33" i="43"/>
  <c r="AJ34" i="43"/>
  <c r="AK34" i="43"/>
  <c r="I35" i="43"/>
  <c r="M35" i="43" s="1"/>
  <c r="L36" i="43"/>
  <c r="M36" i="43"/>
  <c r="T36" i="43"/>
  <c r="I37" i="43"/>
  <c r="AJ38" i="43"/>
  <c r="AK38" i="43"/>
  <c r="I44" i="43"/>
  <c r="X56" i="43"/>
  <c r="I45" i="43"/>
  <c r="I46" i="43"/>
  <c r="Y47" i="43"/>
  <c r="I47" i="43" s="1"/>
  <c r="T54" i="43"/>
  <c r="X53" i="43"/>
  <c r="AG50" i="43"/>
  <c r="AH50" i="43"/>
  <c r="AJ50" i="43"/>
  <c r="AK50" i="43"/>
  <c r="L51" i="43"/>
  <c r="X51" i="43"/>
  <c r="T51" i="43"/>
  <c r="T56" i="43"/>
  <c r="AG59" i="43"/>
  <c r="AH59" i="43"/>
  <c r="AJ59" i="43"/>
  <c r="AK59" i="43"/>
  <c r="I60" i="43"/>
  <c r="M60" i="43" s="1"/>
  <c r="I61" i="43"/>
  <c r="I62" i="43"/>
  <c r="L62" i="43" s="1"/>
  <c r="I63" i="43"/>
  <c r="I64" i="43"/>
  <c r="I65" i="43"/>
  <c r="N65" i="43" s="1"/>
  <c r="L65" i="43"/>
  <c r="M65" i="43"/>
  <c r="AG66" i="43"/>
  <c r="AH66" i="43"/>
  <c r="AJ66" i="43"/>
  <c r="AK66" i="43"/>
  <c r="I67" i="43"/>
  <c r="I68" i="43"/>
  <c r="M68" i="43" s="1"/>
  <c r="L68" i="43"/>
  <c r="I69" i="43"/>
  <c r="M69" i="43" s="1"/>
  <c r="I70" i="43"/>
  <c r="L70" i="43"/>
  <c r="M70" i="43"/>
  <c r="I71" i="43"/>
  <c r="L71" i="43" s="1"/>
  <c r="M71" i="43"/>
  <c r="T72" i="43"/>
  <c r="X72" i="43"/>
  <c r="Z72" i="43"/>
  <c r="AA72" i="43"/>
  <c r="AB72" i="43"/>
  <c r="D3" i="42"/>
  <c r="I3" i="42"/>
  <c r="D4" i="42"/>
  <c r="AC12" i="43" s="1"/>
  <c r="AD12" i="43" s="1"/>
  <c r="D6" i="42"/>
  <c r="D7" i="42"/>
  <c r="D8" i="42"/>
  <c r="E8" i="42"/>
  <c r="F8" i="42"/>
  <c r="D10" i="42"/>
  <c r="E10" i="42"/>
  <c r="F10" i="42"/>
  <c r="D12" i="42"/>
  <c r="D14" i="42"/>
  <c r="E14" i="42"/>
  <c r="F14" i="42"/>
  <c r="F24" i="42" s="1"/>
  <c r="D15" i="42"/>
  <c r="J15" i="42" s="1"/>
  <c r="D17" i="42"/>
  <c r="C18" i="42"/>
  <c r="F18" i="42"/>
  <c r="E19" i="42"/>
  <c r="F19" i="42"/>
  <c r="D20" i="42"/>
  <c r="E20" i="42"/>
  <c r="F20" i="42"/>
  <c r="K20" i="42"/>
  <c r="AC39" i="43"/>
  <c r="AC51" i="43" s="1"/>
  <c r="D23" i="42"/>
  <c r="D24" i="42"/>
  <c r="E24" i="42"/>
  <c r="D26" i="42"/>
  <c r="AC60" i="43" s="1"/>
  <c r="AC67" i="43" s="1"/>
  <c r="C1" i="41"/>
  <c r="D1" i="41"/>
  <c r="E1" i="41"/>
  <c r="F1" i="41"/>
  <c r="G1" i="41"/>
  <c r="H1" i="41"/>
  <c r="C2" i="41"/>
  <c r="F2" i="41"/>
  <c r="A3" i="41"/>
  <c r="B3" i="41"/>
  <c r="A4" i="41"/>
  <c r="B4" i="41"/>
  <c r="A6" i="41"/>
  <c r="B61" i="35" s="1"/>
  <c r="B6" i="41"/>
  <c r="A8" i="41"/>
  <c r="B63" i="35" s="1"/>
  <c r="B8" i="41"/>
  <c r="A9" i="41"/>
  <c r="B64" i="35" s="1"/>
  <c r="B9" i="41"/>
  <c r="A10" i="41"/>
  <c r="B65" i="35" s="1"/>
  <c r="B10" i="41"/>
  <c r="A11" i="41"/>
  <c r="B66" i="35" s="1"/>
  <c r="B11" i="41"/>
  <c r="A12" i="41"/>
  <c r="B67" i="35" s="1"/>
  <c r="B12" i="41"/>
  <c r="A13" i="41"/>
  <c r="B68" i="35" s="1"/>
  <c r="B13" i="41"/>
  <c r="A14" i="41"/>
  <c r="B14" i="41"/>
  <c r="C1" i="40"/>
  <c r="D1" i="40"/>
  <c r="E1" i="40"/>
  <c r="F1" i="40"/>
  <c r="G1" i="40"/>
  <c r="H1" i="40"/>
  <c r="C2" i="40"/>
  <c r="F2" i="40"/>
  <c r="A3" i="40"/>
  <c r="B3" i="40"/>
  <c r="A4" i="40"/>
  <c r="B4" i="40"/>
  <c r="A6" i="40"/>
  <c r="B50" i="35" s="1"/>
  <c r="B6" i="40"/>
  <c r="A7" i="40"/>
  <c r="B51" i="35" s="1"/>
  <c r="B7" i="40"/>
  <c r="A8" i="40"/>
  <c r="B52" i="35" s="1"/>
  <c r="B8" i="40"/>
  <c r="A9" i="40"/>
  <c r="B9" i="40"/>
  <c r="A11" i="40"/>
  <c r="B55" i="35" s="1"/>
  <c r="B11" i="40"/>
  <c r="A12" i="40"/>
  <c r="B56" i="35" s="1"/>
  <c r="B12" i="40"/>
  <c r="A13" i="40"/>
  <c r="B13" i="40"/>
  <c r="A14" i="40"/>
  <c r="B58" i="35" s="1"/>
  <c r="B14" i="40"/>
  <c r="C1" i="39"/>
  <c r="D1" i="39"/>
  <c r="E1" i="39"/>
  <c r="F1" i="39"/>
  <c r="G1" i="39"/>
  <c r="H1" i="39"/>
  <c r="C2" i="39"/>
  <c r="F2" i="39"/>
  <c r="A3" i="39"/>
  <c r="B3" i="39"/>
  <c r="A4" i="39"/>
  <c r="B4" i="39"/>
  <c r="A6" i="39"/>
  <c r="B6" i="39"/>
  <c r="A7" i="39"/>
  <c r="B7" i="39"/>
  <c r="A8" i="39"/>
  <c r="B8" i="39"/>
  <c r="A9" i="39"/>
  <c r="B9" i="39"/>
  <c r="A10" i="39"/>
  <c r="B10" i="39"/>
  <c r="A12" i="39"/>
  <c r="B12" i="39"/>
  <c r="A13" i="39"/>
  <c r="B13" i="39"/>
  <c r="A14" i="39"/>
  <c r="B14" i="39"/>
  <c r="C1" i="38"/>
  <c r="D5" i="35" s="1"/>
  <c r="D1" i="38"/>
  <c r="E5" i="35" s="1"/>
  <c r="E1" i="38"/>
  <c r="F1" i="38"/>
  <c r="G5" i="35" s="1"/>
  <c r="G1" i="38"/>
  <c r="H5" i="35" s="1"/>
  <c r="H1" i="38"/>
  <c r="I5" i="35" s="1"/>
  <c r="C2" i="38"/>
  <c r="F2" i="38"/>
  <c r="G6" i="35" s="1"/>
  <c r="A3" i="38"/>
  <c r="B7" i="35" s="1"/>
  <c r="B3" i="38"/>
  <c r="C7" i="35" s="1"/>
  <c r="A4" i="38"/>
  <c r="B8" i="35" s="1"/>
  <c r="B4" i="38"/>
  <c r="C8" i="35" s="1"/>
  <c r="A6" i="38"/>
  <c r="B10" i="35" s="1"/>
  <c r="B6" i="38"/>
  <c r="A7" i="38"/>
  <c r="B11" i="35" s="1"/>
  <c r="B7" i="38"/>
  <c r="C11" i="35" s="1"/>
  <c r="A8" i="38"/>
  <c r="B44" i="35" s="1"/>
  <c r="B8" i="38"/>
  <c r="A9" i="38"/>
  <c r="B45" i="35" s="1"/>
  <c r="B9" i="38"/>
  <c r="C13" i="35" s="1"/>
  <c r="A10" i="38"/>
  <c r="B46" i="35" s="1"/>
  <c r="B10" i="38"/>
  <c r="A11" i="38"/>
  <c r="B15" i="35" s="1"/>
  <c r="B11" i="38"/>
  <c r="G2" i="37"/>
  <c r="L2" i="37" s="1"/>
  <c r="H2" i="37"/>
  <c r="M2" i="37" s="1"/>
  <c r="J2" i="37"/>
  <c r="O2" i="37" s="1"/>
  <c r="G3" i="37"/>
  <c r="L3" i="37" s="1"/>
  <c r="H3" i="37"/>
  <c r="M3" i="37" s="1"/>
  <c r="C4" i="37"/>
  <c r="C5" i="37" s="1"/>
  <c r="C6" i="37" s="1"/>
  <c r="H4" i="37"/>
  <c r="H5" i="37" s="1"/>
  <c r="H6" i="37" s="1"/>
  <c r="M4" i="37"/>
  <c r="M5" i="37" s="1"/>
  <c r="M6" i="37" s="1"/>
  <c r="H7" i="37"/>
  <c r="M7" i="37" s="1"/>
  <c r="J7" i="37"/>
  <c r="O7" i="37" s="1"/>
  <c r="G2" i="36"/>
  <c r="L2" i="36" s="1"/>
  <c r="H2" i="36"/>
  <c r="M2" i="36" s="1"/>
  <c r="J2" i="36"/>
  <c r="O2" i="36" s="1"/>
  <c r="G3" i="36"/>
  <c r="L3" i="36" s="1"/>
  <c r="H3" i="36"/>
  <c r="M3" i="36"/>
  <c r="H7" i="36"/>
  <c r="M7" i="36" s="1"/>
  <c r="J7" i="36"/>
  <c r="O7" i="36" s="1"/>
  <c r="F5" i="35"/>
  <c r="D6" i="35"/>
  <c r="D17" i="35"/>
  <c r="G17" i="35"/>
  <c r="B18" i="35"/>
  <c r="B25" i="35"/>
  <c r="D25" i="35"/>
  <c r="G25" i="35"/>
  <c r="D36" i="35"/>
  <c r="E36" i="35"/>
  <c r="F36" i="35"/>
  <c r="G36" i="35"/>
  <c r="H36" i="35"/>
  <c r="I36" i="35"/>
  <c r="D37" i="35"/>
  <c r="G37" i="35"/>
  <c r="B38" i="35"/>
  <c r="B39" i="35"/>
  <c r="B43" i="35"/>
  <c r="B47" i="35"/>
  <c r="B53" i="35"/>
  <c r="B57" i="35"/>
  <c r="B69" i="35"/>
  <c r="B72" i="35"/>
  <c r="B73" i="35"/>
  <c r="B74" i="35"/>
  <c r="B75" i="35"/>
  <c r="B76" i="35"/>
  <c r="B78" i="35"/>
  <c r="B79" i="35"/>
  <c r="B80" i="35"/>
  <c r="B7" i="34"/>
  <c r="B8" i="34"/>
  <c r="M4" i="36" s="1"/>
  <c r="M5" i="36" s="1"/>
  <c r="M6" i="36" s="1"/>
  <c r="B19" i="34"/>
  <c r="L35" i="43" l="1"/>
  <c r="M30" i="43"/>
  <c r="M29" i="43"/>
  <c r="L69" i="43"/>
  <c r="L60" i="43"/>
  <c r="H4" i="36"/>
  <c r="H5" i="36" s="1"/>
  <c r="B6" i="34"/>
  <c r="C4" i="36" s="1"/>
  <c r="C5" i="36" s="1"/>
  <c r="B14" i="35"/>
  <c r="N62" i="43"/>
  <c r="B12" i="35"/>
  <c r="N68" i="43"/>
  <c r="M62" i="43"/>
  <c r="N60" i="43"/>
  <c r="N69" i="43"/>
  <c r="L31" i="43"/>
  <c r="AF18" i="43"/>
  <c r="AH18" i="43" s="1"/>
  <c r="E6" i="40" s="1"/>
  <c r="F50" i="35" s="1"/>
  <c r="AI10" i="43"/>
  <c r="AJ10" i="43" s="1"/>
  <c r="G6" i="38" s="1"/>
  <c r="H10" i="35" s="1"/>
  <c r="I4" i="42"/>
  <c r="I5" i="42" s="1"/>
  <c r="G3" i="42"/>
  <c r="B13" i="35"/>
  <c r="X57" i="43"/>
  <c r="B42" i="35"/>
  <c r="X58" i="43"/>
  <c r="B15" i="38"/>
  <c r="C19" i="35" s="1"/>
  <c r="L16" i="43"/>
  <c r="AC23" i="43"/>
  <c r="AD23" i="43" s="1"/>
  <c r="AF23" i="43" s="1"/>
  <c r="AH23" i="43" s="1"/>
  <c r="E11" i="40" s="1"/>
  <c r="F55" i="35" s="1"/>
  <c r="D42" i="35"/>
  <c r="M46" i="43"/>
  <c r="L46" i="43"/>
  <c r="L44" i="43"/>
  <c r="M44" i="43"/>
  <c r="M47" i="43"/>
  <c r="L47" i="43"/>
  <c r="M45" i="43"/>
  <c r="L45" i="43"/>
  <c r="H42" i="35"/>
  <c r="M51" i="43"/>
  <c r="B17" i="38"/>
  <c r="B25" i="38" s="1"/>
  <c r="C29" i="35" s="1"/>
  <c r="AI18" i="43"/>
  <c r="F6" i="40" s="1"/>
  <c r="G50" i="35" s="1"/>
  <c r="H6" i="36"/>
  <c r="M61" i="43"/>
  <c r="L61" i="43"/>
  <c r="I72" i="43"/>
  <c r="N61" i="43"/>
  <c r="AC68" i="43"/>
  <c r="AD67" i="43"/>
  <c r="AC13" i="43"/>
  <c r="C12" i="35"/>
  <c r="B16" i="38"/>
  <c r="C6" i="36"/>
  <c r="AD51" i="43"/>
  <c r="AC53" i="43"/>
  <c r="X40" i="43"/>
  <c r="M24" i="43"/>
  <c r="C15" i="35"/>
  <c r="B19" i="38"/>
  <c r="AC61" i="43"/>
  <c r="AD60" i="43"/>
  <c r="M63" i="43"/>
  <c r="L63" i="43"/>
  <c r="AH10" i="43"/>
  <c r="E6" i="38" s="1"/>
  <c r="AG10" i="43"/>
  <c r="D6" i="38" s="1"/>
  <c r="C19" i="42"/>
  <c r="D19" i="42" s="1"/>
  <c r="D18" i="42"/>
  <c r="AC19" i="43" s="1"/>
  <c r="L64" i="43"/>
  <c r="M64" i="43"/>
  <c r="Y49" i="43"/>
  <c r="I49" i="43" s="1"/>
  <c r="B18" i="38"/>
  <c r="C14" i="35"/>
  <c r="B14" i="38"/>
  <c r="C10" i="35"/>
  <c r="AD39" i="43"/>
  <c r="AI39" i="43" s="1"/>
  <c r="AC44" i="43"/>
  <c r="M67" i="43"/>
  <c r="N67" i="43"/>
  <c r="L67" i="43"/>
  <c r="T40" i="43"/>
  <c r="I39" i="43"/>
  <c r="T58" i="43"/>
  <c r="AC9" i="43"/>
  <c r="AC20" i="43"/>
  <c r="X54" i="43"/>
  <c r="X55" i="43"/>
  <c r="L37" i="43"/>
  <c r="M37" i="43"/>
  <c r="AC33" i="43"/>
  <c r="AD33" i="43" s="1"/>
  <c r="AD29" i="43"/>
  <c r="AC30" i="43"/>
  <c r="T53" i="43"/>
  <c r="T55" i="43"/>
  <c r="T57" i="43"/>
  <c r="M33" i="43"/>
  <c r="M26" i="43"/>
  <c r="N16" i="43"/>
  <c r="M16" i="43"/>
  <c r="C6" i="40" l="1"/>
  <c r="D50" i="35" s="1"/>
  <c r="AK10" i="43"/>
  <c r="H6" i="38" s="1"/>
  <c r="AJ18" i="43"/>
  <c r="G6" i="40" s="1"/>
  <c r="H50" i="35" s="1"/>
  <c r="F6" i="38"/>
  <c r="G42" i="35" s="1"/>
  <c r="AG18" i="43"/>
  <c r="D6" i="40" s="1"/>
  <c r="E50" i="35" s="1"/>
  <c r="H4" i="42"/>
  <c r="G4" i="42"/>
  <c r="B23" i="38"/>
  <c r="C27" i="35" s="1"/>
  <c r="AI23" i="43"/>
  <c r="AK23" i="43" s="1"/>
  <c r="H11" i="40" s="1"/>
  <c r="I55" i="35" s="1"/>
  <c r="AG23" i="43"/>
  <c r="D11" i="40" s="1"/>
  <c r="E55" i="35" s="1"/>
  <c r="C11" i="40"/>
  <c r="AF39" i="43"/>
  <c r="C6" i="41" s="1"/>
  <c r="D61" i="35" s="1"/>
  <c r="AK18" i="43"/>
  <c r="H6" i="40" s="1"/>
  <c r="I50" i="35" s="1"/>
  <c r="A5" i="36"/>
  <c r="C21" i="35"/>
  <c r="AI33" i="43"/>
  <c r="AF33" i="43"/>
  <c r="M39" i="43"/>
  <c r="L39" i="43"/>
  <c r="E42" i="35"/>
  <c r="E10" i="35"/>
  <c r="AF60" i="43"/>
  <c r="AI60" i="43"/>
  <c r="AK39" i="43"/>
  <c r="H6" i="41" s="1"/>
  <c r="I61" i="35" s="1"/>
  <c r="F6" i="41"/>
  <c r="G61" i="35" s="1"/>
  <c r="AJ39" i="43"/>
  <c r="G6" i="41" s="1"/>
  <c r="H61" i="35" s="1"/>
  <c r="B24" i="38"/>
  <c r="C28" i="35" s="1"/>
  <c r="C20" i="35"/>
  <c r="A4" i="36"/>
  <c r="AF67" i="43"/>
  <c r="AI67" i="43"/>
  <c r="AC25" i="43"/>
  <c r="AD25" i="43" s="1"/>
  <c r="AD20" i="43"/>
  <c r="B22" i="38"/>
  <c r="C26" i="35" s="1"/>
  <c r="C18" i="35"/>
  <c r="L49" i="43"/>
  <c r="M49" i="43"/>
  <c r="G5" i="42"/>
  <c r="I6" i="42"/>
  <c r="AC62" i="43"/>
  <c r="AD61" i="43"/>
  <c r="AC54" i="43"/>
  <c r="AD53" i="43"/>
  <c r="AI53" i="43" s="1"/>
  <c r="AC69" i="43"/>
  <c r="AD68" i="43"/>
  <c r="F11" i="40"/>
  <c r="AD30" i="43"/>
  <c r="AC31" i="43"/>
  <c r="AD9" i="43"/>
  <c r="AC16" i="43"/>
  <c r="AD16" i="43" s="1"/>
  <c r="AC21" i="43"/>
  <c r="AC35" i="43"/>
  <c r="I40" i="43"/>
  <c r="T41" i="43"/>
  <c r="AD44" i="43"/>
  <c r="AC45" i="43"/>
  <c r="AC24" i="43"/>
  <c r="AD24" i="43" s="1"/>
  <c r="AD19" i="43"/>
  <c r="F10" i="35"/>
  <c r="F42" i="35"/>
  <c r="C23" i="35"/>
  <c r="B27" i="38"/>
  <c r="C31" i="35" s="1"/>
  <c r="AF51" i="43"/>
  <c r="AI51" i="43"/>
  <c r="AC14" i="43"/>
  <c r="AD13" i="43"/>
  <c r="AF29" i="43"/>
  <c r="AI29" i="43"/>
  <c r="I10" i="35"/>
  <c r="I42" i="35"/>
  <c r="AD41" i="43"/>
  <c r="AD40" i="43"/>
  <c r="AI40" i="43" s="1"/>
  <c r="AD42" i="43"/>
  <c r="B26" i="38"/>
  <c r="C30" i="35" s="1"/>
  <c r="A6" i="36"/>
  <c r="C22" i="35"/>
  <c r="X41" i="43"/>
  <c r="M72" i="43"/>
  <c r="L72" i="43"/>
  <c r="G10" i="35" l="1"/>
  <c r="AJ23" i="43"/>
  <c r="G11" i="40" s="1"/>
  <c r="H55" i="35" s="1"/>
  <c r="AH39" i="43"/>
  <c r="E6" i="41" s="1"/>
  <c r="F61" i="35" s="1"/>
  <c r="AG39" i="43"/>
  <c r="D6" i="41" s="1"/>
  <c r="E61" i="35" s="1"/>
  <c r="D55" i="35"/>
  <c r="AF53" i="43"/>
  <c r="AF40" i="43"/>
  <c r="AK40" i="43"/>
  <c r="AJ40" i="43"/>
  <c r="AI41" i="43"/>
  <c r="X42" i="43"/>
  <c r="AI42" i="43" s="1"/>
  <c r="AG29" i="43"/>
  <c r="C6" i="39"/>
  <c r="AH29" i="43"/>
  <c r="D72" i="35"/>
  <c r="AI19" i="43"/>
  <c r="AF19" i="43"/>
  <c r="AF16" i="43"/>
  <c r="AI68" i="43"/>
  <c r="AF68" i="43"/>
  <c r="AD54" i="43"/>
  <c r="AC55" i="43"/>
  <c r="AJ67" i="43"/>
  <c r="AK67" i="43"/>
  <c r="AH33" i="43"/>
  <c r="C10" i="39"/>
  <c r="D76" i="35"/>
  <c r="AG33" i="43"/>
  <c r="AD14" i="43"/>
  <c r="AC15" i="43"/>
  <c r="AD15" i="43" s="1"/>
  <c r="AF24" i="43"/>
  <c r="AI24" i="43"/>
  <c r="T42" i="43"/>
  <c r="AF41" i="43"/>
  <c r="I41" i="43"/>
  <c r="G55" i="35"/>
  <c r="AD69" i="43"/>
  <c r="AC70" i="43"/>
  <c r="AF61" i="43"/>
  <c r="AI61" i="43"/>
  <c r="G6" i="42"/>
  <c r="H6" i="42" s="1"/>
  <c r="I7" i="42"/>
  <c r="AH67" i="43"/>
  <c r="AG67" i="43"/>
  <c r="AK33" i="43"/>
  <c r="G76" i="35"/>
  <c r="F10" i="39"/>
  <c r="AJ33" i="43"/>
  <c r="AJ51" i="43"/>
  <c r="G14" i="41" s="1"/>
  <c r="H69" i="35" s="1"/>
  <c r="AK51" i="43"/>
  <c r="H14" i="41" s="1"/>
  <c r="I69" i="35" s="1"/>
  <c r="F14" i="41"/>
  <c r="G69" i="35" s="1"/>
  <c r="AD45" i="43"/>
  <c r="AC46" i="43"/>
  <c r="M40" i="43"/>
  <c r="L40" i="43"/>
  <c r="AD35" i="43"/>
  <c r="AC36" i="43"/>
  <c r="AC32" i="43"/>
  <c r="AD32" i="43" s="1"/>
  <c r="AD31" i="43"/>
  <c r="AD62" i="43"/>
  <c r="AC63" i="43"/>
  <c r="AK60" i="43"/>
  <c r="AJ60" i="43"/>
  <c r="AJ29" i="43"/>
  <c r="AK29" i="43"/>
  <c r="F6" i="39"/>
  <c r="G72" i="35"/>
  <c r="AG51" i="43"/>
  <c r="D14" i="41" s="1"/>
  <c r="E69" i="35" s="1"/>
  <c r="AH51" i="43"/>
  <c r="E14" i="41" s="1"/>
  <c r="F69" i="35" s="1"/>
  <c r="C14" i="41"/>
  <c r="D69" i="35" s="1"/>
  <c r="AI44" i="43"/>
  <c r="AF44" i="43"/>
  <c r="AC26" i="43"/>
  <c r="AD26" i="43" s="1"/>
  <c r="AD21" i="43"/>
  <c r="AI30" i="43"/>
  <c r="AF30" i="43"/>
  <c r="AH60" i="43"/>
  <c r="AG60" i="43"/>
  <c r="AH40" i="43" l="1"/>
  <c r="AG40" i="43"/>
  <c r="AF26" i="43"/>
  <c r="AI26" i="43"/>
  <c r="AJ44" i="43"/>
  <c r="G8" i="41" s="1"/>
  <c r="H63" i="35" s="1"/>
  <c r="AK44" i="43"/>
  <c r="H8" i="41" s="1"/>
  <c r="I63" i="35" s="1"/>
  <c r="F8" i="41"/>
  <c r="G63" i="35" s="1"/>
  <c r="AI62" i="43"/>
  <c r="AF62" i="43"/>
  <c r="AI35" i="43"/>
  <c r="AF35" i="43"/>
  <c r="AF45" i="43"/>
  <c r="AI45" i="43"/>
  <c r="H76" i="35"/>
  <c r="G10" i="39"/>
  <c r="H10" i="39"/>
  <c r="I76" i="35"/>
  <c r="AJ61" i="43"/>
  <c r="AK61" i="43"/>
  <c r="AF42" i="43"/>
  <c r="I42" i="43"/>
  <c r="D10" i="39"/>
  <c r="E76" i="35"/>
  <c r="E10" i="39"/>
  <c r="F76" i="35"/>
  <c r="AC56" i="43"/>
  <c r="AD55" i="43"/>
  <c r="AH16" i="43"/>
  <c r="E11" i="38" s="1"/>
  <c r="AG16" i="43"/>
  <c r="C11" i="38"/>
  <c r="E6" i="39"/>
  <c r="F72" i="35"/>
  <c r="AK42" i="43"/>
  <c r="AJ42" i="43"/>
  <c r="AH30" i="43"/>
  <c r="AG30" i="43"/>
  <c r="D73" i="35"/>
  <c r="C7" i="39"/>
  <c r="H72" i="35"/>
  <c r="G6" i="39"/>
  <c r="AF31" i="43"/>
  <c r="AI31" i="43"/>
  <c r="AH61" i="43"/>
  <c r="AG61" i="43"/>
  <c r="AK24" i="43"/>
  <c r="H12" i="40" s="1"/>
  <c r="I56" i="35" s="1"/>
  <c r="F12" i="40"/>
  <c r="AJ24" i="43"/>
  <c r="G12" i="40" s="1"/>
  <c r="H56" i="35" s="1"/>
  <c r="AF54" i="43"/>
  <c r="AI54" i="43"/>
  <c r="AH19" i="43"/>
  <c r="E7" i="40" s="1"/>
  <c r="F51" i="35" s="1"/>
  <c r="AG19" i="43"/>
  <c r="D7" i="40" s="1"/>
  <c r="E51" i="35" s="1"/>
  <c r="C7" i="40"/>
  <c r="AJ41" i="43"/>
  <c r="AK41" i="43"/>
  <c r="AK30" i="43"/>
  <c r="AJ30" i="43"/>
  <c r="F7" i="39"/>
  <c r="G73" i="35"/>
  <c r="AF32" i="43"/>
  <c r="AI32" i="43"/>
  <c r="I8" i="42"/>
  <c r="G7" i="42"/>
  <c r="H7" i="42" s="1"/>
  <c r="AD70" i="43"/>
  <c r="AC71" i="43"/>
  <c r="L41" i="43"/>
  <c r="M41" i="43"/>
  <c r="AH24" i="43"/>
  <c r="E12" i="40" s="1"/>
  <c r="F56" i="35" s="1"/>
  <c r="C12" i="40"/>
  <c r="AG24" i="43"/>
  <c r="D12" i="40" s="1"/>
  <c r="E56" i="35" s="1"/>
  <c r="AH68" i="43"/>
  <c r="AG68" i="43"/>
  <c r="AK19" i="43"/>
  <c r="H7" i="40" s="1"/>
  <c r="I51" i="35" s="1"/>
  <c r="AJ19" i="43"/>
  <c r="G7" i="40" s="1"/>
  <c r="H51" i="35" s="1"/>
  <c r="F7" i="40"/>
  <c r="AI21" i="43"/>
  <c r="AF21" i="43"/>
  <c r="AH44" i="43"/>
  <c r="E8" i="41" s="1"/>
  <c r="F63" i="35" s="1"/>
  <c r="AG44" i="43"/>
  <c r="D8" i="41" s="1"/>
  <c r="E63" i="35" s="1"/>
  <c r="C8" i="41"/>
  <c r="D63" i="35" s="1"/>
  <c r="H6" i="39"/>
  <c r="I72" i="35"/>
  <c r="AC64" i="43"/>
  <c r="AD63" i="43"/>
  <c r="AD36" i="43"/>
  <c r="AC37" i="43"/>
  <c r="AD37" i="43" s="1"/>
  <c r="AC47" i="43"/>
  <c r="AD46" i="43"/>
  <c r="AF69" i="43"/>
  <c r="AI69" i="43"/>
  <c r="AH41" i="43"/>
  <c r="AG41" i="43"/>
  <c r="AK68" i="43"/>
  <c r="AJ68" i="43"/>
  <c r="D6" i="39"/>
  <c r="E72" i="35"/>
  <c r="AH69" i="43" l="1"/>
  <c r="AG69" i="43"/>
  <c r="AC48" i="43"/>
  <c r="AD47" i="43"/>
  <c r="AC65" i="43"/>
  <c r="AD65" i="43" s="1"/>
  <c r="AD64" i="43"/>
  <c r="D56" i="35"/>
  <c r="AD71" i="43"/>
  <c r="AC72" i="43"/>
  <c r="AD72" i="43" s="1"/>
  <c r="L42" i="43"/>
  <c r="M42" i="43"/>
  <c r="AK35" i="43"/>
  <c r="AJ35" i="43"/>
  <c r="F12" i="39"/>
  <c r="G78" i="35"/>
  <c r="AH26" i="43"/>
  <c r="E14" i="40" s="1"/>
  <c r="F58" i="35" s="1"/>
  <c r="C14" i="40"/>
  <c r="AG26" i="43"/>
  <c r="D14" i="40" s="1"/>
  <c r="E58" i="35" s="1"/>
  <c r="AF37" i="43"/>
  <c r="AI37" i="43"/>
  <c r="AH21" i="43"/>
  <c r="E9" i="40" s="1"/>
  <c r="F53" i="35" s="1"/>
  <c r="AG21" i="43"/>
  <c r="D9" i="40" s="1"/>
  <c r="E53" i="35" s="1"/>
  <c r="C9" i="40"/>
  <c r="AI70" i="43"/>
  <c r="AF70" i="43"/>
  <c r="G56" i="35"/>
  <c r="E73" i="35"/>
  <c r="D7" i="39"/>
  <c r="D15" i="35"/>
  <c r="D47" i="35"/>
  <c r="F15" i="35"/>
  <c r="F47" i="35"/>
  <c r="AG42" i="43"/>
  <c r="AH42" i="43"/>
  <c r="F9" i="41"/>
  <c r="G64" i="35" s="1"/>
  <c r="AJ45" i="43"/>
  <c r="G9" i="41" s="1"/>
  <c r="H64" i="35" s="1"/>
  <c r="AK45" i="43"/>
  <c r="H9" i="41" s="1"/>
  <c r="I64" i="35" s="1"/>
  <c r="AH62" i="43"/>
  <c r="AG62" i="43"/>
  <c r="AF36" i="43"/>
  <c r="AI36" i="43"/>
  <c r="AK21" i="43"/>
  <c r="H9" i="40" s="1"/>
  <c r="I53" i="35" s="1"/>
  <c r="AJ21" i="43"/>
  <c r="G9" i="40" s="1"/>
  <c r="H53" i="35" s="1"/>
  <c r="F9" i="40"/>
  <c r="G51" i="35"/>
  <c r="AK32" i="43"/>
  <c r="AJ32" i="43"/>
  <c r="F9" i="39"/>
  <c r="G75" i="35"/>
  <c r="G7" i="39"/>
  <c r="H73" i="35"/>
  <c r="D51" i="35"/>
  <c r="AK31" i="43"/>
  <c r="AJ31" i="43"/>
  <c r="G74" i="35"/>
  <c r="F8" i="39"/>
  <c r="AF55" i="43"/>
  <c r="AI55" i="43"/>
  <c r="AH45" i="43"/>
  <c r="E9" i="41" s="1"/>
  <c r="F64" i="35" s="1"/>
  <c r="AG45" i="43"/>
  <c r="D9" i="41" s="1"/>
  <c r="E64" i="35" s="1"/>
  <c r="C9" i="41"/>
  <c r="D64" i="35" s="1"/>
  <c r="AJ62" i="43"/>
  <c r="AK62" i="43"/>
  <c r="AJ69" i="43"/>
  <c r="AK69" i="43"/>
  <c r="AF46" i="43"/>
  <c r="AI46" i="43"/>
  <c r="AF63" i="43"/>
  <c r="AI63" i="43"/>
  <c r="I9" i="42"/>
  <c r="G8" i="42"/>
  <c r="H8" i="42" s="1"/>
  <c r="AG32" i="43"/>
  <c r="AH32" i="43"/>
  <c r="D75" i="35"/>
  <c r="C9" i="39"/>
  <c r="H7" i="39"/>
  <c r="I73" i="35"/>
  <c r="AH31" i="43"/>
  <c r="AG31" i="43"/>
  <c r="C8" i="39"/>
  <c r="D74" i="35"/>
  <c r="E7" i="39"/>
  <c r="F73" i="35"/>
  <c r="D11" i="38"/>
  <c r="AD56" i="43"/>
  <c r="AC57" i="43"/>
  <c r="AG35" i="43"/>
  <c r="AH35" i="43"/>
  <c r="D78" i="35"/>
  <c r="C12" i="39"/>
  <c r="AK26" i="43"/>
  <c r="H14" i="40" s="1"/>
  <c r="I58" i="35" s="1"/>
  <c r="F14" i="40"/>
  <c r="AJ26" i="43"/>
  <c r="G14" i="40" s="1"/>
  <c r="H58" i="35" s="1"/>
  <c r="E12" i="39" l="1"/>
  <c r="F78" i="35"/>
  <c r="E15" i="35"/>
  <c r="E47" i="35"/>
  <c r="E8" i="39"/>
  <c r="F74" i="35"/>
  <c r="AG63" i="43"/>
  <c r="AH63" i="43"/>
  <c r="G8" i="39"/>
  <c r="H74" i="35"/>
  <c r="AG70" i="43"/>
  <c r="AH70" i="43"/>
  <c r="H12" i="39"/>
  <c r="I78" i="35"/>
  <c r="AF65" i="43"/>
  <c r="AI65" i="43"/>
  <c r="E78" i="35"/>
  <c r="D12" i="39"/>
  <c r="I10" i="42"/>
  <c r="G9" i="42"/>
  <c r="H9" i="42" s="1"/>
  <c r="AJ46" i="43"/>
  <c r="G10" i="41" s="1"/>
  <c r="H65" i="35" s="1"/>
  <c r="F10" i="41"/>
  <c r="G65" i="35" s="1"/>
  <c r="AK46" i="43"/>
  <c r="H10" i="41" s="1"/>
  <c r="I65" i="35" s="1"/>
  <c r="G53" i="35"/>
  <c r="AK36" i="43"/>
  <c r="AJ36" i="43"/>
  <c r="F13" i="39"/>
  <c r="G79" i="35"/>
  <c r="AJ70" i="43"/>
  <c r="AK70" i="43"/>
  <c r="AI47" i="43"/>
  <c r="AF47" i="43"/>
  <c r="G58" i="35"/>
  <c r="AC58" i="43"/>
  <c r="AD58" i="43" s="1"/>
  <c r="AD57" i="43"/>
  <c r="D8" i="39"/>
  <c r="E74" i="35"/>
  <c r="E9" i="39"/>
  <c r="F75" i="35"/>
  <c r="AH46" i="43"/>
  <c r="E10" i="41" s="1"/>
  <c r="F65" i="35" s="1"/>
  <c r="AG46" i="43"/>
  <c r="D10" i="41" s="1"/>
  <c r="E65" i="35" s="1"/>
  <c r="C10" i="41"/>
  <c r="D65" i="35" s="1"/>
  <c r="H8" i="39"/>
  <c r="I74" i="35"/>
  <c r="G9" i="39"/>
  <c r="H75" i="35"/>
  <c r="AG36" i="43"/>
  <c r="AH36" i="43"/>
  <c r="C13" i="39"/>
  <c r="D79" i="35"/>
  <c r="D53" i="35"/>
  <c r="AJ37" i="43"/>
  <c r="AK37" i="43"/>
  <c r="G80" i="35"/>
  <c r="F14" i="39"/>
  <c r="D58" i="35"/>
  <c r="AI72" i="43"/>
  <c r="AF72" i="43"/>
  <c r="AD48" i="43"/>
  <c r="AC49" i="43"/>
  <c r="AD49" i="43" s="1"/>
  <c r="AF56" i="43"/>
  <c r="AI56" i="43"/>
  <c r="D9" i="39"/>
  <c r="E75" i="35"/>
  <c r="AK63" i="43"/>
  <c r="AJ63" i="43"/>
  <c r="H9" i="39"/>
  <c r="I75" i="35"/>
  <c r="AH37" i="43"/>
  <c r="AG37" i="43"/>
  <c r="C14" i="39"/>
  <c r="D80" i="35"/>
  <c r="G12" i="39"/>
  <c r="H78" i="35"/>
  <c r="AI71" i="43"/>
  <c r="AF71" i="43"/>
  <c r="AF64" i="43"/>
  <c r="AI64" i="43"/>
  <c r="AG64" i="43" l="1"/>
  <c r="AH64" i="43"/>
  <c r="D14" i="39"/>
  <c r="E80" i="35"/>
  <c r="AG72" i="43"/>
  <c r="AH72" i="43"/>
  <c r="G14" i="39"/>
  <c r="H80" i="35"/>
  <c r="AH65" i="43"/>
  <c r="AG65" i="43"/>
  <c r="AH71" i="43"/>
  <c r="AG71" i="43"/>
  <c r="E14" i="39"/>
  <c r="F80" i="35"/>
  <c r="AJ72" i="43"/>
  <c r="AK72" i="43"/>
  <c r="G13" i="39"/>
  <c r="H79" i="35"/>
  <c r="AJ71" i="43"/>
  <c r="AK71" i="43"/>
  <c r="AI49" i="43"/>
  <c r="AF49" i="43"/>
  <c r="H14" i="39"/>
  <c r="I80" i="35"/>
  <c r="E13" i="39"/>
  <c r="F79" i="35"/>
  <c r="AI57" i="43"/>
  <c r="AF57" i="43"/>
  <c r="AG47" i="43"/>
  <c r="D11" i="41" s="1"/>
  <c r="E66" i="35" s="1"/>
  <c r="AH47" i="43"/>
  <c r="E11" i="41" s="1"/>
  <c r="F66" i="35" s="1"/>
  <c r="C11" i="41"/>
  <c r="D66" i="35" s="1"/>
  <c r="I79" i="35"/>
  <c r="H13" i="39"/>
  <c r="G10" i="42"/>
  <c r="H10" i="42" s="1"/>
  <c r="I11" i="42"/>
  <c r="I12" i="42" s="1"/>
  <c r="AJ64" i="43"/>
  <c r="AK64" i="43"/>
  <c r="AF48" i="43"/>
  <c r="AI48" i="43"/>
  <c r="E79" i="35"/>
  <c r="D13" i="39"/>
  <c r="AI58" i="43"/>
  <c r="AF58" i="43"/>
  <c r="AJ47" i="43"/>
  <c r="G11" i="41" s="1"/>
  <c r="H66" i="35" s="1"/>
  <c r="AK47" i="43"/>
  <c r="H11" i="41" s="1"/>
  <c r="I66" i="35" s="1"/>
  <c r="F11" i="41"/>
  <c r="G66" i="35" s="1"/>
  <c r="AK65" i="43"/>
  <c r="AJ65" i="43"/>
  <c r="AJ48" i="43" l="1"/>
  <c r="G12" i="41" s="1"/>
  <c r="H67" i="35" s="1"/>
  <c r="AK48" i="43"/>
  <c r="H12" i="41" s="1"/>
  <c r="I67" i="35" s="1"/>
  <c r="F12" i="41"/>
  <c r="G67" i="35" s="1"/>
  <c r="AH49" i="43"/>
  <c r="E13" i="41" s="1"/>
  <c r="F68" i="35" s="1"/>
  <c r="C13" i="41"/>
  <c r="D68" i="35" s="1"/>
  <c r="AG49" i="43"/>
  <c r="D13" i="41" s="1"/>
  <c r="E68" i="35" s="1"/>
  <c r="AG48" i="43"/>
  <c r="D12" i="41" s="1"/>
  <c r="E67" i="35" s="1"/>
  <c r="AH48" i="43"/>
  <c r="E12" i="41" s="1"/>
  <c r="F67" i="35" s="1"/>
  <c r="C12" i="41"/>
  <c r="D67" i="35" s="1"/>
  <c r="AJ49" i="43"/>
  <c r="G13" i="41" s="1"/>
  <c r="H68" i="35" s="1"/>
  <c r="AK49" i="43"/>
  <c r="H13" i="41" s="1"/>
  <c r="I68" i="35" s="1"/>
  <c r="F13" i="41"/>
  <c r="G68" i="35" s="1"/>
  <c r="G12" i="42"/>
  <c r="I13" i="42"/>
  <c r="I14" i="42" s="1"/>
  <c r="G14" i="42" l="1"/>
  <c r="H14" i="42" s="1"/>
  <c r="I15" i="42"/>
  <c r="G15" i="42" l="1"/>
  <c r="I16" i="42"/>
  <c r="I17" i="42" s="1"/>
  <c r="I18" i="42" l="1"/>
  <c r="G17" i="42"/>
  <c r="H17" i="42" s="1"/>
  <c r="I19" i="42" l="1"/>
  <c r="G18" i="42"/>
  <c r="H18" i="42" s="1"/>
  <c r="G19" i="42" l="1"/>
  <c r="H19" i="42" s="1"/>
  <c r="I20" i="42"/>
  <c r="I21" i="42" l="1"/>
  <c r="I22" i="42" s="1"/>
  <c r="G20" i="42"/>
  <c r="H20" i="42" s="1"/>
  <c r="H22" i="42" l="1"/>
  <c r="I23" i="42"/>
  <c r="H23" i="42" l="1"/>
  <c r="I24" i="42"/>
  <c r="I25" i="42" l="1"/>
  <c r="I26" i="42" s="1"/>
  <c r="G26" i="42" s="1"/>
  <c r="G24" i="42"/>
  <c r="H24" i="42" s="1"/>
  <c r="V9" i="24" l="1"/>
  <c r="D6" i="25"/>
  <c r="L4" i="1"/>
  <c r="W11" i="24"/>
  <c r="W12" i="24"/>
  <c r="V10" i="24"/>
  <c r="V8" i="24"/>
  <c r="V7" i="24"/>
  <c r="V3" i="24"/>
  <c r="U3" i="24"/>
  <c r="W9" i="24"/>
  <c r="W8" i="24"/>
  <c r="W10" i="24"/>
  <c r="W3" i="24"/>
  <c r="W5" i="24"/>
  <c r="X7" i="24"/>
  <c r="H28" i="3"/>
  <c r="BB8" i="25"/>
  <c r="BB11" i="25" s="1"/>
  <c r="K8" i="25"/>
  <c r="BB7" i="25"/>
  <c r="BB10" i="25" s="1"/>
  <c r="T16" i="25"/>
  <c r="S11" i="25"/>
  <c r="S10" i="25"/>
  <c r="R10" i="25"/>
  <c r="R3" i="25"/>
  <c r="P11" i="25" s="1"/>
  <c r="K11" i="25"/>
  <c r="K10" i="25"/>
  <c r="J11" i="25"/>
  <c r="BA11" i="25" s="1"/>
  <c r="O8" i="1"/>
  <c r="H21" i="1" s="1"/>
  <c r="C24" i="27"/>
  <c r="C5" i="27"/>
  <c r="D8" i="26"/>
  <c r="D9" i="26"/>
  <c r="W27" i="24"/>
  <c r="Z3" i="24"/>
  <c r="AE3" i="24" s="1"/>
  <c r="Z27" i="24" s="1"/>
  <c r="AB27" i="24" s="1"/>
  <c r="X10" i="24"/>
  <c r="S24" i="24" s="1"/>
  <c r="X9" i="24"/>
  <c r="X8" i="24"/>
  <c r="X6" i="24"/>
  <c r="X4" i="24"/>
  <c r="X3" i="24"/>
  <c r="W4" i="24"/>
  <c r="W7" i="24"/>
  <c r="W6" i="24"/>
  <c r="V6" i="24"/>
  <c r="V5" i="24"/>
  <c r="V4" i="24"/>
  <c r="U11" i="24"/>
  <c r="U10" i="24"/>
  <c r="U9" i="24"/>
  <c r="U8" i="24"/>
  <c r="U7" i="24"/>
  <c r="Z21" i="24" s="1"/>
  <c r="U5" i="24"/>
  <c r="S19" i="24" s="1"/>
  <c r="U4" i="24"/>
  <c r="V18" i="24" s="1"/>
  <c r="U6" i="24"/>
  <c r="AF20" i="24" s="1"/>
  <c r="W28" i="24"/>
  <c r="B4" i="1"/>
  <c r="Q40" i="21"/>
  <c r="P39" i="21"/>
  <c r="P38" i="21"/>
  <c r="F10" i="21"/>
  <c r="O38" i="21"/>
  <c r="O39" i="21"/>
  <c r="O40" i="21"/>
  <c r="O22" i="21"/>
  <c r="Q3" i="21"/>
  <c r="R4" i="21" s="1"/>
  <c r="G10" i="21"/>
  <c r="E18" i="3"/>
  <c r="D18" i="3"/>
  <c r="D29" i="27"/>
  <c r="AV16" i="25"/>
  <c r="I65" i="30" s="1"/>
  <c r="I72" i="45" s="1"/>
  <c r="Y11" i="25"/>
  <c r="AH11" i="25" s="1"/>
  <c r="AQ11" i="25" s="1"/>
  <c r="F5" i="25"/>
  <c r="E6" i="29"/>
  <c r="D5" i="32" s="1"/>
  <c r="G15" i="14"/>
  <c r="Y35" i="24"/>
  <c r="E12" i="1" s="1"/>
  <c r="W34" i="24"/>
  <c r="O4" i="1"/>
  <c r="D21" i="1" s="1"/>
  <c r="L6" i="1"/>
  <c r="F18" i="1" s="1"/>
  <c r="L5" i="1"/>
  <c r="E18" i="1" s="1"/>
  <c r="D31" i="32"/>
  <c r="D24" i="32"/>
  <c r="D32" i="31"/>
  <c r="D33" i="31"/>
  <c r="D45" i="32"/>
  <c r="E43" i="32"/>
  <c r="D43" i="32"/>
  <c r="E42" i="32"/>
  <c r="D42" i="32"/>
  <c r="E41" i="32"/>
  <c r="D41" i="32"/>
  <c r="E34" i="32"/>
  <c r="E29" i="32"/>
  <c r="AB7" i="32"/>
  <c r="AB10" i="32" s="1"/>
  <c r="E23" i="32"/>
  <c r="D21" i="32"/>
  <c r="D17" i="32"/>
  <c r="Q7" i="32" s="1"/>
  <c r="AV16" i="32"/>
  <c r="AL16" i="32"/>
  <c r="AD16" i="32"/>
  <c r="T16" i="32"/>
  <c r="L16" i="32"/>
  <c r="AB11" i="32"/>
  <c r="Y11" i="32"/>
  <c r="AH11" i="32"/>
  <c r="AQ11" i="32" s="1"/>
  <c r="S11" i="32"/>
  <c r="J11" i="32"/>
  <c r="I11" i="32"/>
  <c r="AC10" i="32"/>
  <c r="AK10" i="32" s="1"/>
  <c r="AU10" i="32" s="1"/>
  <c r="S10" i="32"/>
  <c r="I10" i="32"/>
  <c r="K8" i="32"/>
  <c r="K11" i="32"/>
  <c r="R10" i="32"/>
  <c r="K7" i="32"/>
  <c r="D6" i="32"/>
  <c r="F5" i="32"/>
  <c r="B5" i="32"/>
  <c r="D4" i="32"/>
  <c r="D7" i="32" s="1"/>
  <c r="J7" i="32" s="1"/>
  <c r="R3" i="32"/>
  <c r="P11" i="32" s="1"/>
  <c r="AP1" i="32"/>
  <c r="AG1" i="32"/>
  <c r="X1" i="32"/>
  <c r="C1" i="32"/>
  <c r="D45" i="31"/>
  <c r="E43" i="31"/>
  <c r="D43" i="31"/>
  <c r="E42" i="31"/>
  <c r="D42" i="31"/>
  <c r="E41" i="31"/>
  <c r="D41" i="31"/>
  <c r="E34" i="31"/>
  <c r="D31" i="31"/>
  <c r="E29" i="31"/>
  <c r="D24" i="31"/>
  <c r="E23" i="31"/>
  <c r="D17" i="31"/>
  <c r="Q8" i="31" s="1"/>
  <c r="AV16" i="31"/>
  <c r="AL16" i="31"/>
  <c r="AD16" i="31"/>
  <c r="T16" i="31"/>
  <c r="L16" i="31"/>
  <c r="AB11" i="31"/>
  <c r="Y11" i="31"/>
  <c r="AH11" i="31"/>
  <c r="AQ11" i="31" s="1"/>
  <c r="S11" i="31"/>
  <c r="J11" i="31"/>
  <c r="I11" i="31"/>
  <c r="AC10" i="31"/>
  <c r="AK10" i="31" s="1"/>
  <c r="AU10" i="31" s="1"/>
  <c r="S10" i="31"/>
  <c r="I10" i="31"/>
  <c r="K8" i="31"/>
  <c r="K11" i="31" s="1"/>
  <c r="AI10" i="31"/>
  <c r="Z10" i="31"/>
  <c r="R10" i="31"/>
  <c r="K7" i="31"/>
  <c r="K10" i="31" s="1"/>
  <c r="D6" i="31"/>
  <c r="F5" i="31"/>
  <c r="B5" i="31"/>
  <c r="D4" i="31"/>
  <c r="D7" i="31" s="1"/>
  <c r="R3" i="31"/>
  <c r="P11" i="31" s="1"/>
  <c r="AP1" i="31"/>
  <c r="AG1" i="31"/>
  <c r="X1" i="31"/>
  <c r="C1" i="31"/>
  <c r="I44" i="30"/>
  <c r="I55" i="45" s="1"/>
  <c r="I70" i="30"/>
  <c r="I77" i="45" s="1"/>
  <c r="I192" i="45" s="1"/>
  <c r="O5" i="1"/>
  <c r="E21" i="1" s="1"/>
  <c r="O9" i="1"/>
  <c r="I21" i="1" s="1"/>
  <c r="AP1" i="25"/>
  <c r="AG1" i="25"/>
  <c r="X1" i="25"/>
  <c r="I129" i="30"/>
  <c r="I130" i="30"/>
  <c r="I131" i="30"/>
  <c r="I133" i="30"/>
  <c r="I134" i="30"/>
  <c r="I135" i="30"/>
  <c r="I136" i="30"/>
  <c r="I128" i="30"/>
  <c r="L127" i="30"/>
  <c r="M127" i="30"/>
  <c r="K127" i="30"/>
  <c r="B139" i="30"/>
  <c r="B140" i="30"/>
  <c r="B138" i="30"/>
  <c r="F127" i="30"/>
  <c r="G127" i="30"/>
  <c r="H127" i="30"/>
  <c r="E127" i="30"/>
  <c r="D136" i="30"/>
  <c r="J136" i="30" s="1"/>
  <c r="D135" i="30"/>
  <c r="J135" i="30" s="1"/>
  <c r="D134" i="30"/>
  <c r="J134" i="30" s="1"/>
  <c r="D133" i="30"/>
  <c r="J133" i="30" s="1"/>
  <c r="D131" i="30"/>
  <c r="J131" i="30" s="1"/>
  <c r="D130" i="30"/>
  <c r="J130" i="30" s="1"/>
  <c r="D129" i="30"/>
  <c r="J129" i="30" s="1"/>
  <c r="D128" i="30"/>
  <c r="J128" i="30" s="1"/>
  <c r="I90" i="30"/>
  <c r="I25" i="45" s="1"/>
  <c r="I103" i="30"/>
  <c r="I14" i="45" s="1"/>
  <c r="I116" i="30"/>
  <c r="I91" i="30"/>
  <c r="I26" i="45" s="1"/>
  <c r="I104" i="30"/>
  <c r="I15" i="45" s="1"/>
  <c r="I117" i="30"/>
  <c r="I92" i="30"/>
  <c r="I27" i="45" s="1"/>
  <c r="I105" i="30"/>
  <c r="I16" i="45" s="1"/>
  <c r="I118" i="30"/>
  <c r="I93" i="30"/>
  <c r="I28" i="45" s="1"/>
  <c r="G115" i="30"/>
  <c r="H115" i="30"/>
  <c r="I115" i="30"/>
  <c r="J115" i="30"/>
  <c r="B88" i="30"/>
  <c r="E114" i="30"/>
  <c r="E89" i="30"/>
  <c r="E24" i="45" s="1"/>
  <c r="F89" i="30"/>
  <c r="F24" i="45" s="1"/>
  <c r="G89" i="30"/>
  <c r="G24" i="45" s="1"/>
  <c r="H89" i="30"/>
  <c r="H24" i="45" s="1"/>
  <c r="I89" i="30"/>
  <c r="I24" i="45" s="1"/>
  <c r="J89" i="30"/>
  <c r="J24" i="45" s="1"/>
  <c r="E102" i="30"/>
  <c r="E13" i="45" s="1"/>
  <c r="F102" i="30"/>
  <c r="F13" i="45" s="1"/>
  <c r="G102" i="30"/>
  <c r="G13" i="45" s="1"/>
  <c r="H102" i="30"/>
  <c r="H13" i="45" s="1"/>
  <c r="I102" i="30"/>
  <c r="I13" i="45" s="1"/>
  <c r="J102" i="30"/>
  <c r="J13" i="45" s="1"/>
  <c r="E115" i="30"/>
  <c r="F115" i="30"/>
  <c r="D10" i="30"/>
  <c r="G10" i="30"/>
  <c r="B23" i="30"/>
  <c r="D23" i="30"/>
  <c r="I23" i="30"/>
  <c r="I36" i="45" s="1"/>
  <c r="B36" i="30"/>
  <c r="D36" i="30"/>
  <c r="I36" i="30"/>
  <c r="I47" i="45" s="1"/>
  <c r="M47" i="45" s="1"/>
  <c r="B49" i="30"/>
  <c r="D49" i="30"/>
  <c r="I49" i="30"/>
  <c r="I58" i="45" s="1"/>
  <c r="B62" i="30"/>
  <c r="D62" i="30"/>
  <c r="I62" i="30"/>
  <c r="I69" i="45" s="1"/>
  <c r="B75" i="30"/>
  <c r="D75" i="30"/>
  <c r="I75" i="30"/>
  <c r="D11" i="30"/>
  <c r="G11" i="30"/>
  <c r="B24" i="30"/>
  <c r="D24" i="30"/>
  <c r="I24" i="30"/>
  <c r="I37" i="45" s="1"/>
  <c r="B37" i="30"/>
  <c r="D37" i="30"/>
  <c r="I37" i="30"/>
  <c r="I48" i="45" s="1"/>
  <c r="M48" i="45" s="1"/>
  <c r="B50" i="30"/>
  <c r="D50" i="30"/>
  <c r="I50" i="30"/>
  <c r="I59" i="45" s="1"/>
  <c r="B63" i="30"/>
  <c r="D63" i="30"/>
  <c r="I63" i="30"/>
  <c r="I70" i="45" s="1"/>
  <c r="B76" i="30"/>
  <c r="D76" i="30"/>
  <c r="I76" i="30"/>
  <c r="D12" i="30"/>
  <c r="G12" i="30"/>
  <c r="B25" i="30"/>
  <c r="D25" i="30"/>
  <c r="I25" i="30"/>
  <c r="I38" i="45" s="1"/>
  <c r="B38" i="30"/>
  <c r="D38" i="30"/>
  <c r="I38" i="30"/>
  <c r="I49" i="45" s="1"/>
  <c r="M49" i="45" s="1"/>
  <c r="B51" i="30"/>
  <c r="D51" i="30"/>
  <c r="I51" i="30"/>
  <c r="I60" i="45" s="1"/>
  <c r="B64" i="30"/>
  <c r="D64" i="30"/>
  <c r="I64" i="30"/>
  <c r="I71" i="45" s="1"/>
  <c r="B77" i="30"/>
  <c r="D77" i="30"/>
  <c r="I77" i="30"/>
  <c r="D13" i="30"/>
  <c r="B26" i="30"/>
  <c r="D26" i="30"/>
  <c r="I26" i="30"/>
  <c r="I39" i="45" s="1"/>
  <c r="B39" i="30"/>
  <c r="D39" i="30"/>
  <c r="B52" i="30"/>
  <c r="D52" i="30"/>
  <c r="B65" i="30"/>
  <c r="D65" i="30"/>
  <c r="B78" i="30"/>
  <c r="D78" i="30"/>
  <c r="D15" i="30"/>
  <c r="G15" i="30"/>
  <c r="B28" i="30"/>
  <c r="D28" i="30"/>
  <c r="I28" i="30"/>
  <c r="I41" i="45" s="1"/>
  <c r="B41" i="30"/>
  <c r="D41" i="30"/>
  <c r="I41" i="30"/>
  <c r="I52" i="45" s="1"/>
  <c r="M52" i="45" s="1"/>
  <c r="B54" i="30"/>
  <c r="D54" i="30"/>
  <c r="I54" i="30"/>
  <c r="I63" i="45" s="1"/>
  <c r="B67" i="30"/>
  <c r="D67" i="30"/>
  <c r="I67" i="30"/>
  <c r="I74" i="45" s="1"/>
  <c r="B80" i="30"/>
  <c r="D80" i="30"/>
  <c r="I80" i="30"/>
  <c r="D16" i="30"/>
  <c r="G16" i="30"/>
  <c r="B29" i="30"/>
  <c r="D29" i="30"/>
  <c r="I29" i="30"/>
  <c r="I42" i="45" s="1"/>
  <c r="B42" i="30"/>
  <c r="D42" i="30"/>
  <c r="I42" i="30"/>
  <c r="I53" i="45" s="1"/>
  <c r="M53" i="45" s="1"/>
  <c r="B55" i="30"/>
  <c r="D55" i="30"/>
  <c r="I55" i="30"/>
  <c r="I64" i="45" s="1"/>
  <c r="B68" i="30"/>
  <c r="D68" i="30"/>
  <c r="I68" i="30"/>
  <c r="I75" i="45" s="1"/>
  <c r="B81" i="30"/>
  <c r="D81" i="30"/>
  <c r="I81" i="30"/>
  <c r="D17" i="30"/>
  <c r="G17" i="30"/>
  <c r="B30" i="30"/>
  <c r="D30" i="30"/>
  <c r="I30" i="30"/>
  <c r="I43" i="45" s="1"/>
  <c r="B43" i="30"/>
  <c r="D43" i="30"/>
  <c r="I43" i="30"/>
  <c r="I54" i="45" s="1"/>
  <c r="M54" i="45" s="1"/>
  <c r="B56" i="30"/>
  <c r="D56" i="30"/>
  <c r="I56" i="30"/>
  <c r="I65" i="45" s="1"/>
  <c r="B69" i="30"/>
  <c r="D69" i="30"/>
  <c r="I69" i="30"/>
  <c r="I76" i="45" s="1"/>
  <c r="B82" i="30"/>
  <c r="D82" i="30"/>
  <c r="I82" i="30"/>
  <c r="D18" i="30"/>
  <c r="B31" i="30"/>
  <c r="D31" i="30"/>
  <c r="I31" i="30"/>
  <c r="I44" i="45" s="1"/>
  <c r="I189" i="45" s="1"/>
  <c r="B44" i="30"/>
  <c r="D44" i="30"/>
  <c r="B57" i="30"/>
  <c r="D57" i="30"/>
  <c r="B70" i="30"/>
  <c r="D70" i="30"/>
  <c r="B83" i="30"/>
  <c r="D83" i="30"/>
  <c r="I83" i="30"/>
  <c r="B18" i="30"/>
  <c r="B11" i="30"/>
  <c r="B12" i="30"/>
  <c r="B13" i="30"/>
  <c r="B15" i="30"/>
  <c r="B16" i="30"/>
  <c r="B17" i="30"/>
  <c r="B10" i="30"/>
  <c r="B8" i="30"/>
  <c r="B21" i="30"/>
  <c r="B34" i="30"/>
  <c r="B47" i="30"/>
  <c r="B60" i="30"/>
  <c r="B73" i="30"/>
  <c r="E9" i="30"/>
  <c r="F9" i="30"/>
  <c r="G9" i="30"/>
  <c r="E22" i="30"/>
  <c r="E35" i="45" s="1"/>
  <c r="F22" i="30"/>
  <c r="F35" i="45" s="1"/>
  <c r="G22" i="30"/>
  <c r="G35" i="45" s="1"/>
  <c r="H22" i="30"/>
  <c r="H35" i="45" s="1"/>
  <c r="I22" i="30"/>
  <c r="I35" i="45" s="1"/>
  <c r="E35" i="30"/>
  <c r="E46" i="45" s="1"/>
  <c r="F35" i="30"/>
  <c r="F46" i="45" s="1"/>
  <c r="G35" i="30"/>
  <c r="G46" i="45" s="1"/>
  <c r="H35" i="30"/>
  <c r="H46" i="45" s="1"/>
  <c r="L46" i="45" s="1"/>
  <c r="I35" i="30"/>
  <c r="I46" i="45" s="1"/>
  <c r="M46" i="45" s="1"/>
  <c r="E48" i="30"/>
  <c r="E57" i="45" s="1"/>
  <c r="G48" i="30"/>
  <c r="G57" i="45" s="1"/>
  <c r="H48" i="30"/>
  <c r="H57" i="45" s="1"/>
  <c r="I48" i="30"/>
  <c r="I57" i="45" s="1"/>
  <c r="E61" i="30"/>
  <c r="E68" i="45" s="1"/>
  <c r="F61" i="30"/>
  <c r="F68" i="45" s="1"/>
  <c r="G61" i="30"/>
  <c r="G68" i="45" s="1"/>
  <c r="H61" i="30"/>
  <c r="H68" i="45" s="1"/>
  <c r="I61" i="30"/>
  <c r="I68" i="45" s="1"/>
  <c r="G74" i="30"/>
  <c r="H74" i="30"/>
  <c r="I74" i="30"/>
  <c r="E16" i="29"/>
  <c r="E14" i="29"/>
  <c r="D32" i="32" s="1"/>
  <c r="D45" i="25"/>
  <c r="D31" i="25"/>
  <c r="AR7" i="25" s="1"/>
  <c r="D24" i="25"/>
  <c r="D17" i="25"/>
  <c r="Q7" i="25" s="1"/>
  <c r="E9" i="29"/>
  <c r="D14" i="25" s="1"/>
  <c r="D16" i="25" s="1"/>
  <c r="D5" i="25"/>
  <c r="B5" i="25"/>
  <c r="E13" i="29"/>
  <c r="D27" i="32" s="1"/>
  <c r="D21" i="25"/>
  <c r="D4" i="25"/>
  <c r="D7" i="25" s="1"/>
  <c r="J7" i="25" s="1"/>
  <c r="Q39" i="21"/>
  <c r="P40" i="21"/>
  <c r="Q38" i="21"/>
  <c r="D43" i="25"/>
  <c r="E43" i="25"/>
  <c r="E42" i="25"/>
  <c r="D42" i="25"/>
  <c r="E41" i="25"/>
  <c r="D41" i="25"/>
  <c r="AL16" i="25"/>
  <c r="I52" i="30" s="1"/>
  <c r="I61" i="45" s="1"/>
  <c r="E23" i="25"/>
  <c r="I31" i="7"/>
  <c r="E31" i="7"/>
  <c r="D31" i="7"/>
  <c r="E27" i="3"/>
  <c r="F240" i="30" s="1"/>
  <c r="D27" i="3"/>
  <c r="E240" i="30" s="1"/>
  <c r="Q22" i="21"/>
  <c r="P22" i="21"/>
  <c r="N22" i="21"/>
  <c r="Q21" i="21"/>
  <c r="P21" i="21"/>
  <c r="O21" i="21"/>
  <c r="N21" i="21"/>
  <c r="M21" i="21"/>
  <c r="U3" i="21"/>
  <c r="V5" i="21" s="1"/>
  <c r="S3" i="21"/>
  <c r="T5" i="21" s="1"/>
  <c r="H8" i="27"/>
  <c r="D26" i="27"/>
  <c r="D27" i="27"/>
  <c r="D28" i="27"/>
  <c r="D30" i="27"/>
  <c r="D31" i="27"/>
  <c r="D32" i="27"/>
  <c r="D33" i="27"/>
  <c r="D25" i="27"/>
  <c r="D7" i="27"/>
  <c r="D8" i="27"/>
  <c r="D9" i="27"/>
  <c r="D10" i="27"/>
  <c r="D11" i="27"/>
  <c r="D12" i="27"/>
  <c r="D13" i="27"/>
  <c r="D14" i="27"/>
  <c r="D6" i="27"/>
  <c r="C23" i="27"/>
  <c r="C22" i="27"/>
  <c r="E12" i="27" s="1"/>
  <c r="C21" i="27"/>
  <c r="C20" i="27"/>
  <c r="C39" i="27" s="1"/>
  <c r="E10" i="27"/>
  <c r="C18" i="27"/>
  <c r="C37" i="27" s="1"/>
  <c r="C17" i="27"/>
  <c r="E7" i="27"/>
  <c r="C16" i="27"/>
  <c r="E6" i="27" s="1"/>
  <c r="C15" i="27"/>
  <c r="E5" i="27" s="1"/>
  <c r="C34" i="27"/>
  <c r="C14" i="27"/>
  <c r="C33" i="27" s="1"/>
  <c r="C13" i="27"/>
  <c r="C32" i="27" s="1"/>
  <c r="C12" i="27"/>
  <c r="C31" i="27" s="1"/>
  <c r="C11" i="27"/>
  <c r="C30" i="27" s="1"/>
  <c r="C10" i="27"/>
  <c r="C29" i="27" s="1"/>
  <c r="C9" i="27"/>
  <c r="C28" i="27"/>
  <c r="C8" i="27"/>
  <c r="C27" i="27" s="1"/>
  <c r="C7" i="27"/>
  <c r="C26" i="27" s="1"/>
  <c r="C6" i="27"/>
  <c r="C25" i="27" s="1"/>
  <c r="F5" i="21"/>
  <c r="G5" i="21"/>
  <c r="H5" i="21"/>
  <c r="E2" i="21"/>
  <c r="D2" i="21"/>
  <c r="C2" i="21"/>
  <c r="E1" i="21"/>
  <c r="D1" i="21"/>
  <c r="C1" i="21"/>
  <c r="AG22" i="24"/>
  <c r="Z8" i="26"/>
  <c r="I119" i="30" s="1"/>
  <c r="R8" i="26"/>
  <c r="I106" i="30" s="1"/>
  <c r="I17" i="45" s="1"/>
  <c r="AA22" i="24"/>
  <c r="H48" i="26"/>
  <c r="B48" i="26" s="1"/>
  <c r="H57" i="26"/>
  <c r="B57" i="26" s="1"/>
  <c r="P48" i="26"/>
  <c r="J8" i="26"/>
  <c r="E78" i="26"/>
  <c r="F76" i="26"/>
  <c r="D77" i="26"/>
  <c r="D78" i="26"/>
  <c r="P49" i="26"/>
  <c r="J49" i="26" s="1"/>
  <c r="D49" i="26" s="1"/>
  <c r="P50" i="26"/>
  <c r="P51" i="26"/>
  <c r="P52" i="26"/>
  <c r="J52" i="26" s="1"/>
  <c r="D52" i="26" s="1"/>
  <c r="P53" i="26"/>
  <c r="J53" i="26"/>
  <c r="D53" i="26" s="1"/>
  <c r="P54" i="26"/>
  <c r="J54" i="26" s="1"/>
  <c r="D54" i="26" s="1"/>
  <c r="P55" i="26"/>
  <c r="J55" i="26" s="1"/>
  <c r="D55" i="26" s="1"/>
  <c r="P56" i="26"/>
  <c r="J56" i="26"/>
  <c r="D56" i="26" s="1"/>
  <c r="O49" i="26"/>
  <c r="I49" i="26" s="1"/>
  <c r="C49" i="26" s="1"/>
  <c r="C71" i="26"/>
  <c r="O50" i="26"/>
  <c r="O51" i="26"/>
  <c r="I51" i="26" s="1"/>
  <c r="C51" i="26" s="1"/>
  <c r="O52" i="26"/>
  <c r="I52" i="26" s="1"/>
  <c r="C52" i="26" s="1"/>
  <c r="O53" i="26"/>
  <c r="O54" i="26"/>
  <c r="C76" i="26" s="1"/>
  <c r="O55" i="26"/>
  <c r="C77" i="26" s="1"/>
  <c r="O56" i="26"/>
  <c r="C78" i="26" s="1"/>
  <c r="O48" i="26"/>
  <c r="I48" i="26" s="1"/>
  <c r="C48" i="26" s="1"/>
  <c r="C70" i="26"/>
  <c r="O47" i="26"/>
  <c r="H47" i="26"/>
  <c r="N47" i="26"/>
  <c r="B47" i="26"/>
  <c r="D28" i="26"/>
  <c r="D29" i="26"/>
  <c r="D30" i="26"/>
  <c r="D31" i="26"/>
  <c r="D32" i="26"/>
  <c r="D33" i="26"/>
  <c r="D34" i="26"/>
  <c r="D35" i="26"/>
  <c r="D27" i="26"/>
  <c r="C25" i="26"/>
  <c r="C18" i="26"/>
  <c r="E6" i="26" s="1"/>
  <c r="C19" i="26"/>
  <c r="E7" i="26" s="1"/>
  <c r="C20" i="26"/>
  <c r="C22" i="26"/>
  <c r="E10" i="26" s="1"/>
  <c r="C23" i="26"/>
  <c r="C42" i="26" s="1"/>
  <c r="C24" i="26"/>
  <c r="E12" i="26" s="1"/>
  <c r="C17" i="26"/>
  <c r="C36" i="26" s="1"/>
  <c r="O57" i="26" s="1"/>
  <c r="I57" i="26" s="1"/>
  <c r="C57" i="26" s="1"/>
  <c r="D10" i="26"/>
  <c r="D11" i="26"/>
  <c r="D12" i="26"/>
  <c r="D13" i="26"/>
  <c r="D14" i="26"/>
  <c r="D15" i="26"/>
  <c r="D16" i="26"/>
  <c r="C9" i="26"/>
  <c r="C28" i="26" s="1"/>
  <c r="C10" i="26"/>
  <c r="C29" i="26" s="1"/>
  <c r="C11" i="26"/>
  <c r="C30" i="26" s="1"/>
  <c r="C12" i="26"/>
  <c r="C31" i="26" s="1"/>
  <c r="C13" i="26"/>
  <c r="C32" i="26" s="1"/>
  <c r="C14" i="26"/>
  <c r="C33" i="26" s="1"/>
  <c r="C15" i="26"/>
  <c r="C34" i="26" s="1"/>
  <c r="C16" i="26"/>
  <c r="C35" i="26"/>
  <c r="C8" i="26"/>
  <c r="C27" i="26" s="1"/>
  <c r="C5" i="26"/>
  <c r="C3" i="26"/>
  <c r="C4" i="26"/>
  <c r="C2" i="26"/>
  <c r="C13" i="4"/>
  <c r="F13" i="4" s="1"/>
  <c r="D14" i="7"/>
  <c r="E75" i="26"/>
  <c r="D16" i="3"/>
  <c r="E77" i="26"/>
  <c r="BF16" i="25"/>
  <c r="I78" i="30" s="1"/>
  <c r="AD16" i="25"/>
  <c r="I39" i="30" s="1"/>
  <c r="I50" i="45" s="1"/>
  <c r="M50" i="45" s="1"/>
  <c r="L16" i="25"/>
  <c r="G13" i="30" s="1"/>
  <c r="BC11" i="25"/>
  <c r="BE10" i="25"/>
  <c r="BA8" i="25"/>
  <c r="BB2" i="25"/>
  <c r="F74" i="30" s="1"/>
  <c r="BA2" i="25"/>
  <c r="E74" i="30" s="1"/>
  <c r="AB11" i="25"/>
  <c r="AC10" i="25"/>
  <c r="AK10" i="25" s="1"/>
  <c r="AU10" i="25" s="1"/>
  <c r="I11" i="25"/>
  <c r="I10" i="25"/>
  <c r="C1" i="25"/>
  <c r="F28" i="7"/>
  <c r="F27" i="7"/>
  <c r="R5" i="1"/>
  <c r="R6" i="1"/>
  <c r="R7" i="1"/>
  <c r="R8" i="1"/>
  <c r="R9" i="1"/>
  <c r="R10" i="1"/>
  <c r="R11" i="1"/>
  <c r="R12" i="1"/>
  <c r="R4" i="1"/>
  <c r="C20" i="1"/>
  <c r="C19" i="1"/>
  <c r="C18" i="1"/>
  <c r="J5" i="1"/>
  <c r="J6" i="1"/>
  <c r="J7" i="1"/>
  <c r="H12" i="27"/>
  <c r="J8" i="1"/>
  <c r="J9" i="1"/>
  <c r="J12" i="26" s="1"/>
  <c r="I97" i="30" s="1"/>
  <c r="I32" i="45" s="1"/>
  <c r="J10" i="1"/>
  <c r="R12" i="26" s="1"/>
  <c r="I110" i="30" s="1"/>
  <c r="I21" i="45" s="1"/>
  <c r="J11" i="1"/>
  <c r="Z12" i="26" s="1"/>
  <c r="I123" i="30" s="1"/>
  <c r="J12" i="1"/>
  <c r="J4" i="1"/>
  <c r="I5" i="1"/>
  <c r="I6" i="1"/>
  <c r="I7" i="1"/>
  <c r="H11" i="27" s="1"/>
  <c r="I8" i="1"/>
  <c r="I9" i="1"/>
  <c r="J11" i="26"/>
  <c r="I96" i="30" s="1"/>
  <c r="I31" i="45" s="1"/>
  <c r="I10" i="1"/>
  <c r="R11" i="26" s="1"/>
  <c r="I109" i="30" s="1"/>
  <c r="I20" i="45" s="1"/>
  <c r="I11" i="1"/>
  <c r="Z11" i="26"/>
  <c r="I122" i="30" s="1"/>
  <c r="I12" i="1"/>
  <c r="I4" i="1"/>
  <c r="H12" i="1"/>
  <c r="H3" i="1"/>
  <c r="N5" i="1"/>
  <c r="N6" i="1"/>
  <c r="N7" i="1"/>
  <c r="N8" i="1"/>
  <c r="H20" i="1" s="1"/>
  <c r="N9" i="1"/>
  <c r="I20" i="1" s="1"/>
  <c r="N10" i="1"/>
  <c r="J20" i="1" s="1"/>
  <c r="N11" i="1"/>
  <c r="K20" i="1" s="1"/>
  <c r="N12" i="1"/>
  <c r="N4" i="1"/>
  <c r="D20" i="1" s="1"/>
  <c r="M5" i="1"/>
  <c r="E19" i="1" s="1"/>
  <c r="M6" i="1"/>
  <c r="F19" i="1" s="1"/>
  <c r="M7" i="1"/>
  <c r="M8" i="1"/>
  <c r="H19" i="1" s="1"/>
  <c r="M9" i="1"/>
  <c r="M10" i="1"/>
  <c r="J19" i="1" s="1"/>
  <c r="M11" i="1"/>
  <c r="M12" i="1"/>
  <c r="M4" i="1"/>
  <c r="D19" i="1" s="1"/>
  <c r="L7" i="1"/>
  <c r="L8" i="1"/>
  <c r="H18" i="1" s="1"/>
  <c r="L9" i="1"/>
  <c r="I18" i="1" s="1"/>
  <c r="L10" i="1"/>
  <c r="J18" i="1" s="1"/>
  <c r="L11" i="1"/>
  <c r="L12" i="1"/>
  <c r="D5" i="1"/>
  <c r="E17" i="1" s="1"/>
  <c r="D6" i="1"/>
  <c r="F17" i="1" s="1"/>
  <c r="D7" i="1"/>
  <c r="D8" i="1"/>
  <c r="H17" i="1" s="1"/>
  <c r="D9" i="1"/>
  <c r="I17" i="1" s="1"/>
  <c r="D10" i="1"/>
  <c r="J17" i="1" s="1"/>
  <c r="D11" i="1"/>
  <c r="D12" i="1"/>
  <c r="I182" i="30" s="1"/>
  <c r="D4" i="1"/>
  <c r="D17" i="1" s="1"/>
  <c r="C5" i="1"/>
  <c r="E16" i="1" s="1"/>
  <c r="C6" i="1"/>
  <c r="F16" i="1" s="1"/>
  <c r="C7" i="1"/>
  <c r="C8" i="1"/>
  <c r="H16" i="1" s="1"/>
  <c r="C9" i="1"/>
  <c r="C6" i="14" s="1"/>
  <c r="C10" i="1"/>
  <c r="C11" i="1"/>
  <c r="K16" i="1" s="1"/>
  <c r="C12" i="1"/>
  <c r="C4" i="1"/>
  <c r="B5" i="1"/>
  <c r="E15" i="1" s="1"/>
  <c r="B6" i="1"/>
  <c r="F15" i="1" s="1"/>
  <c r="B7" i="1"/>
  <c r="B8" i="1"/>
  <c r="B9" i="1"/>
  <c r="B10" i="1"/>
  <c r="J15" i="1" s="1"/>
  <c r="B11" i="1"/>
  <c r="B12" i="1"/>
  <c r="I180" i="30" s="1"/>
  <c r="J139" i="45" s="1"/>
  <c r="AE35" i="24"/>
  <c r="G12" i="1" s="1"/>
  <c r="AD35" i="24"/>
  <c r="F12" i="1" s="1"/>
  <c r="W35" i="24"/>
  <c r="V35" i="24"/>
  <c r="AE34" i="24"/>
  <c r="G11" i="1" s="1"/>
  <c r="AD34" i="24"/>
  <c r="F11" i="1" s="1"/>
  <c r="V34" i="24"/>
  <c r="AE33" i="24"/>
  <c r="G10" i="1" s="1"/>
  <c r="AD33" i="24"/>
  <c r="F10" i="1" s="1"/>
  <c r="W33" i="24"/>
  <c r="V33" i="24"/>
  <c r="AE32" i="24"/>
  <c r="G9" i="1" s="1"/>
  <c r="AD32" i="24"/>
  <c r="F9" i="1" s="1"/>
  <c r="W32" i="24"/>
  <c r="V32" i="24"/>
  <c r="AE31" i="24"/>
  <c r="G8" i="1" s="1"/>
  <c r="AD31" i="24"/>
  <c r="F8" i="1" s="1"/>
  <c r="W31" i="24"/>
  <c r="V31" i="24"/>
  <c r="AE30" i="24"/>
  <c r="G7" i="1" s="1"/>
  <c r="AD30" i="24"/>
  <c r="F7" i="1" s="1"/>
  <c r="W30" i="24"/>
  <c r="V30" i="24"/>
  <c r="AE29" i="24"/>
  <c r="G6" i="1" s="1"/>
  <c r="AD29" i="24"/>
  <c r="F6" i="1" s="1"/>
  <c r="W29" i="24"/>
  <c r="V29" i="24"/>
  <c r="AE28" i="24"/>
  <c r="G5" i="1" s="1"/>
  <c r="AD28" i="24"/>
  <c r="F5" i="1" s="1"/>
  <c r="V28" i="24"/>
  <c r="AE27" i="24"/>
  <c r="G4" i="1" s="1"/>
  <c r="AD27" i="24"/>
  <c r="F4" i="1" s="1"/>
  <c r="V27" i="24"/>
  <c r="AG25" i="24"/>
  <c r="AD25" i="24"/>
  <c r="AA25" i="24"/>
  <c r="AG24" i="24"/>
  <c r="AD24" i="24"/>
  <c r="AG23" i="24"/>
  <c r="AD23" i="24"/>
  <c r="AD22" i="24"/>
  <c r="AG21" i="24"/>
  <c r="AD21" i="24"/>
  <c r="AG20" i="24"/>
  <c r="AD20" i="24"/>
  <c r="AG19" i="24"/>
  <c r="AD19" i="24"/>
  <c r="AG18" i="24"/>
  <c r="AD18" i="24"/>
  <c r="AG17" i="24"/>
  <c r="AD17" i="24"/>
  <c r="AE10" i="24"/>
  <c r="Y34" i="24" s="1"/>
  <c r="E11" i="1" s="1"/>
  <c r="AE9" i="24"/>
  <c r="Z33" i="24" s="1"/>
  <c r="AB33" i="24" s="1"/>
  <c r="AA21" i="24"/>
  <c r="AE6" i="24"/>
  <c r="Y30" i="24" s="1"/>
  <c r="E7" i="1" s="1"/>
  <c r="P20" i="24"/>
  <c r="AE5" i="24"/>
  <c r="Z19" i="24" s="1"/>
  <c r="AA19" i="24"/>
  <c r="X5" i="24"/>
  <c r="AE4" i="24"/>
  <c r="AC17" i="24"/>
  <c r="M16" i="7"/>
  <c r="D9" i="7" s="1"/>
  <c r="J25" i="17"/>
  <c r="E23" i="17"/>
  <c r="N23" i="17" s="1"/>
  <c r="G23" i="17"/>
  <c r="F23" i="17"/>
  <c r="G29" i="17"/>
  <c r="E29" i="17"/>
  <c r="F29" i="17"/>
  <c r="E30" i="17"/>
  <c r="F30" i="17"/>
  <c r="G30" i="17"/>
  <c r="E28" i="17"/>
  <c r="H28" i="17" s="1"/>
  <c r="I28" i="17" s="1"/>
  <c r="C29" i="17"/>
  <c r="C30" i="17"/>
  <c r="D8" i="7"/>
  <c r="E8" i="7" s="1"/>
  <c r="J18" i="13"/>
  <c r="L10" i="5"/>
  <c r="M10" i="5"/>
  <c r="M11" i="5" s="1"/>
  <c r="N10" i="5"/>
  <c r="N11" i="5" s="1"/>
  <c r="L11" i="5"/>
  <c r="K10" i="5"/>
  <c r="K11" i="5" s="1"/>
  <c r="K4" i="5"/>
  <c r="K5" i="5" s="1"/>
  <c r="K6" i="5" s="1"/>
  <c r="J33" i="17"/>
  <c r="K33" i="17"/>
  <c r="L33" i="17"/>
  <c r="J34" i="17"/>
  <c r="K34" i="17"/>
  <c r="L34" i="17"/>
  <c r="J26" i="17"/>
  <c r="E35" i="22"/>
  <c r="E36" i="22" s="1"/>
  <c r="E37" i="22" s="1"/>
  <c r="E38" i="22" s="1"/>
  <c r="E19" i="22"/>
  <c r="E20" i="22" s="1"/>
  <c r="E21" i="22" s="1"/>
  <c r="E22" i="22" s="1"/>
  <c r="C53" i="22"/>
  <c r="C52" i="22"/>
  <c r="C51" i="22"/>
  <c r="C50" i="22"/>
  <c r="C48" i="22"/>
  <c r="C47" i="22"/>
  <c r="C46" i="22"/>
  <c r="C45" i="22"/>
  <c r="C43" i="22"/>
  <c r="F41" i="22"/>
  <c r="E41" i="22"/>
  <c r="D36" i="22"/>
  <c r="D37" i="22" s="1"/>
  <c r="D38" i="22" s="1"/>
  <c r="F35" i="22"/>
  <c r="E24" i="22"/>
  <c r="E25" i="22" s="1"/>
  <c r="E26" i="22" s="1"/>
  <c r="E28" i="22" s="1"/>
  <c r="E29" i="22" s="1"/>
  <c r="E30" i="22" s="1"/>
  <c r="E32" i="22" s="1"/>
  <c r="E33" i="22" s="1"/>
  <c r="D24" i="22"/>
  <c r="D25" i="22" s="1"/>
  <c r="D26" i="22" s="1"/>
  <c r="D28" i="22" s="1"/>
  <c r="D29" i="22" s="1"/>
  <c r="D30" i="22" s="1"/>
  <c r="D32" i="22" s="1"/>
  <c r="D33" i="22" s="1"/>
  <c r="D20" i="22"/>
  <c r="D21" i="22" s="1"/>
  <c r="D22" i="22" s="1"/>
  <c r="F19" i="22"/>
  <c r="C19" i="22"/>
  <c r="D8" i="22"/>
  <c r="D9" i="22"/>
  <c r="D10" i="22" s="1"/>
  <c r="D12" i="22" s="1"/>
  <c r="D13" i="22" s="1"/>
  <c r="D14" i="22" s="1"/>
  <c r="D16" i="22" s="1"/>
  <c r="D17" i="22" s="1"/>
  <c r="F6" i="22"/>
  <c r="C6" i="22"/>
  <c r="D43" i="22" s="1"/>
  <c r="F11" i="5"/>
  <c r="H11" i="5" s="1"/>
  <c r="F10" i="5"/>
  <c r="A45" i="14"/>
  <c r="A44" i="14"/>
  <c r="A43" i="14"/>
  <c r="A42" i="14"/>
  <c r="I21" i="18"/>
  <c r="K29" i="18"/>
  <c r="K30" i="18"/>
  <c r="K31" i="18"/>
  <c r="J30" i="18"/>
  <c r="J31" i="18"/>
  <c r="J29" i="18"/>
  <c r="K28" i="18"/>
  <c r="J28" i="18"/>
  <c r="I30" i="18"/>
  <c r="I31" i="18"/>
  <c r="I29" i="18"/>
  <c r="H30" i="18"/>
  <c r="H31" i="18"/>
  <c r="H29" i="18"/>
  <c r="I28" i="18"/>
  <c r="E28" i="18"/>
  <c r="F22" i="4"/>
  <c r="F20" i="4"/>
  <c r="F18" i="4"/>
  <c r="H18" i="4" s="1"/>
  <c r="F15" i="4"/>
  <c r="F14" i="4"/>
  <c r="H14" i="4" s="1"/>
  <c r="C26" i="14" s="1"/>
  <c r="D24" i="15"/>
  <c r="D25" i="15" s="1"/>
  <c r="D26" i="15"/>
  <c r="D28" i="15" s="1"/>
  <c r="D29" i="15" s="1"/>
  <c r="D30" i="15" s="1"/>
  <c r="D32" i="15" s="1"/>
  <c r="D33" i="15" s="1"/>
  <c r="D8" i="15"/>
  <c r="D9" i="15" s="1"/>
  <c r="D10" i="15"/>
  <c r="D12" i="15" s="1"/>
  <c r="D13" i="15" s="1"/>
  <c r="D14" i="15" s="1"/>
  <c r="D16" i="15" s="1"/>
  <c r="D17" i="15" s="1"/>
  <c r="V24" i="18"/>
  <c r="W24" i="18"/>
  <c r="U24" i="18"/>
  <c r="A4" i="20"/>
  <c r="A5" i="20" s="1"/>
  <c r="L5" i="5"/>
  <c r="L6" i="5" s="1"/>
  <c r="M4" i="5"/>
  <c r="M5" i="5" s="1"/>
  <c r="M6" i="5" s="1"/>
  <c r="N4" i="5"/>
  <c r="N5" i="5"/>
  <c r="N6" i="5" s="1"/>
  <c r="D17" i="5"/>
  <c r="D9" i="5"/>
  <c r="E6" i="22" s="1"/>
  <c r="D4" i="5"/>
  <c r="F4" i="5" s="1"/>
  <c r="G6" i="15" s="1"/>
  <c r="L26" i="17"/>
  <c r="L27" i="17"/>
  <c r="L28" i="17"/>
  <c r="L25" i="17"/>
  <c r="K26" i="17"/>
  <c r="O26" i="17" s="1"/>
  <c r="K27" i="17"/>
  <c r="K28" i="17"/>
  <c r="K25" i="17"/>
  <c r="J27" i="17"/>
  <c r="J28" i="17"/>
  <c r="G24" i="17"/>
  <c r="G25" i="17"/>
  <c r="G26" i="17"/>
  <c r="G27" i="17"/>
  <c r="G28" i="17"/>
  <c r="G31" i="17"/>
  <c r="G32" i="17"/>
  <c r="G33" i="17"/>
  <c r="G34" i="17"/>
  <c r="F24" i="17"/>
  <c r="F25" i="17"/>
  <c r="F26" i="17"/>
  <c r="F27" i="17"/>
  <c r="F28" i="17"/>
  <c r="F31" i="17"/>
  <c r="H31" i="17" s="1"/>
  <c r="I31" i="17" s="1"/>
  <c r="F32" i="17"/>
  <c r="F33" i="17"/>
  <c r="E24" i="17"/>
  <c r="E25" i="17"/>
  <c r="H25" i="17" s="1"/>
  <c r="I25" i="17" s="1"/>
  <c r="E26" i="17"/>
  <c r="E27" i="17"/>
  <c r="E31" i="17"/>
  <c r="N31" i="17"/>
  <c r="E32" i="17"/>
  <c r="N32" i="17" s="1"/>
  <c r="E33" i="17"/>
  <c r="C24" i="17"/>
  <c r="C25" i="17"/>
  <c r="C26" i="17"/>
  <c r="C27" i="17"/>
  <c r="C28" i="17"/>
  <c r="C31" i="17"/>
  <c r="C32" i="17"/>
  <c r="C33" i="17"/>
  <c r="C34" i="17"/>
  <c r="C23" i="17"/>
  <c r="F34" i="17"/>
  <c r="C15" i="18"/>
  <c r="G15" i="18" s="1"/>
  <c r="P15" i="18" s="1"/>
  <c r="I22" i="18"/>
  <c r="I23" i="18"/>
  <c r="R23" i="18" s="1"/>
  <c r="G22" i="18"/>
  <c r="N22" i="18" s="1"/>
  <c r="L30" i="18" s="1"/>
  <c r="G23" i="18"/>
  <c r="N23" i="18" s="1"/>
  <c r="L31" i="18" s="1"/>
  <c r="G21" i="18"/>
  <c r="N21" i="18" s="1"/>
  <c r="L29" i="18" s="1"/>
  <c r="I7" i="18"/>
  <c r="H19" i="18"/>
  <c r="I15" i="18"/>
  <c r="I9" i="18"/>
  <c r="I8" i="18"/>
  <c r="H14" i="18"/>
  <c r="G14" i="18"/>
  <c r="O14" i="18" s="1"/>
  <c r="G9" i="18"/>
  <c r="R9" i="18" s="1"/>
  <c r="H10" i="18"/>
  <c r="H11" i="18"/>
  <c r="H12" i="18"/>
  <c r="H13" i="18"/>
  <c r="G11" i="18"/>
  <c r="N11" i="18" s="1"/>
  <c r="G12" i="18"/>
  <c r="P12" i="18" s="1"/>
  <c r="G13" i="18"/>
  <c r="Q13" i="18" s="1"/>
  <c r="G10" i="18"/>
  <c r="O10" i="18" s="1"/>
  <c r="G8" i="18"/>
  <c r="Q8" i="18" s="1"/>
  <c r="G7" i="18"/>
  <c r="Q7" i="18" s="1"/>
  <c r="F3" i="19"/>
  <c r="F2" i="19"/>
  <c r="C33" i="16"/>
  <c r="C34" i="16"/>
  <c r="C35" i="16"/>
  <c r="C24" i="16"/>
  <c r="C25" i="16"/>
  <c r="C27" i="16"/>
  <c r="C28" i="16"/>
  <c r="C29" i="16"/>
  <c r="C30" i="16"/>
  <c r="C32" i="16"/>
  <c r="C23" i="16"/>
  <c r="F41" i="15"/>
  <c r="E41" i="15"/>
  <c r="C52" i="15"/>
  <c r="C53" i="15"/>
  <c r="C45" i="15"/>
  <c r="C46" i="15"/>
  <c r="C47" i="15"/>
  <c r="C48" i="15"/>
  <c r="C50" i="15"/>
  <c r="C51" i="15"/>
  <c r="C43" i="15"/>
  <c r="D36" i="15"/>
  <c r="D37" i="15" s="1"/>
  <c r="D38" i="15" s="1"/>
  <c r="E35" i="15"/>
  <c r="E24" i="15" s="1"/>
  <c r="E25" i="15" s="1"/>
  <c r="E26" i="15" s="1"/>
  <c r="E28" i="15" s="1"/>
  <c r="E29" i="15" s="1"/>
  <c r="E30" i="15" s="1"/>
  <c r="E32" i="15" s="1"/>
  <c r="E33" i="15" s="1"/>
  <c r="F35" i="15"/>
  <c r="F24" i="15" s="1"/>
  <c r="F25" i="15" s="1"/>
  <c r="F26" i="15" s="1"/>
  <c r="F28" i="15" s="1"/>
  <c r="F29" i="15" s="1"/>
  <c r="F30" i="15" s="1"/>
  <c r="F32" i="15" s="1"/>
  <c r="F33" i="15" s="1"/>
  <c r="F6" i="16"/>
  <c r="F15" i="16"/>
  <c r="F16" i="16" s="1"/>
  <c r="F17" i="16"/>
  <c r="F18" i="16" s="1"/>
  <c r="C15" i="16"/>
  <c r="F10" i="16"/>
  <c r="F11" i="16" s="1"/>
  <c r="F12" i="16" s="1"/>
  <c r="F13" i="16" s="1"/>
  <c r="C10" i="16"/>
  <c r="F8" i="16"/>
  <c r="E8" i="16"/>
  <c r="C8" i="16"/>
  <c r="D25" i="16" s="1"/>
  <c r="F7" i="16"/>
  <c r="C7" i="16"/>
  <c r="D24" i="16" s="1"/>
  <c r="D20" i="15"/>
  <c r="D21" i="15" s="1"/>
  <c r="D22" i="15" s="1"/>
  <c r="E19" i="15"/>
  <c r="F19" i="15"/>
  <c r="C19" i="15"/>
  <c r="C17" i="15" s="1"/>
  <c r="C16" i="15" s="1"/>
  <c r="E6" i="15"/>
  <c r="F6" i="15"/>
  <c r="C6" i="15"/>
  <c r="D43" i="15" s="1"/>
  <c r="F16" i="5"/>
  <c r="G8" i="16" s="1"/>
  <c r="B9" i="5"/>
  <c r="C6" i="16" s="1"/>
  <c r="D23" i="16" s="1"/>
  <c r="J23" i="13"/>
  <c r="C17" i="13"/>
  <c r="F17" i="13" s="1"/>
  <c r="C22" i="13"/>
  <c r="F22" i="13" s="1"/>
  <c r="F14" i="13"/>
  <c r="F13" i="13"/>
  <c r="D18" i="7"/>
  <c r="F6" i="5"/>
  <c r="H6" i="5" s="1"/>
  <c r="D21" i="3"/>
  <c r="G18" i="3" s="1"/>
  <c r="D17" i="3"/>
  <c r="I8" i="3" s="1"/>
  <c r="D17" i="7"/>
  <c r="F5" i="5"/>
  <c r="H5" i="5" s="1"/>
  <c r="N8" i="18"/>
  <c r="E34" i="17"/>
  <c r="N33" i="17"/>
  <c r="P7" i="18"/>
  <c r="Q11" i="18"/>
  <c r="O11" i="18"/>
  <c r="P10" i="18"/>
  <c r="P8" i="18"/>
  <c r="O7" i="18"/>
  <c r="F78" i="26"/>
  <c r="C36" i="27"/>
  <c r="D27" i="25"/>
  <c r="E11" i="26"/>
  <c r="C79" i="26"/>
  <c r="R5" i="21"/>
  <c r="V17" i="24"/>
  <c r="AC21" i="24"/>
  <c r="I55" i="26"/>
  <c r="C55" i="26" s="1"/>
  <c r="H6" i="1"/>
  <c r="AC24" i="24"/>
  <c r="H9" i="1"/>
  <c r="J10" i="26"/>
  <c r="V20" i="24"/>
  <c r="H10" i="1"/>
  <c r="R10" i="26" s="1"/>
  <c r="Z32" i="24"/>
  <c r="AB32" i="24" s="1"/>
  <c r="H22" i="4"/>
  <c r="AF24" i="24"/>
  <c r="J50" i="26"/>
  <c r="D50" i="26" s="1"/>
  <c r="AC18" i="24"/>
  <c r="H7" i="1"/>
  <c r="V19" i="24"/>
  <c r="AA20" i="24"/>
  <c r="H13" i="13"/>
  <c r="C31" i="14" s="1"/>
  <c r="O10" i="1"/>
  <c r="G5" i="14" s="1"/>
  <c r="O7" i="1"/>
  <c r="Z30" i="24"/>
  <c r="AB30" i="24" s="1"/>
  <c r="K22" i="4"/>
  <c r="J51" i="26"/>
  <c r="D51" i="26" s="1"/>
  <c r="Z35" i="24"/>
  <c r="O11" i="1"/>
  <c r="K21" i="1" s="1"/>
  <c r="Z34" i="24"/>
  <c r="AB34" i="24" s="1"/>
  <c r="Z31" i="24"/>
  <c r="AB31" i="24" s="1"/>
  <c r="I95" i="30"/>
  <c r="I30" i="45" s="1"/>
  <c r="AA17" i="24"/>
  <c r="H4" i="1"/>
  <c r="Y33" i="24"/>
  <c r="E10" i="1" s="1"/>
  <c r="V24" i="24"/>
  <c r="H8" i="1"/>
  <c r="AC20" i="24"/>
  <c r="Z22" i="24"/>
  <c r="H5" i="1"/>
  <c r="AC19" i="24"/>
  <c r="AF19" i="24"/>
  <c r="P18" i="24"/>
  <c r="P19" i="24"/>
  <c r="Y32" i="24"/>
  <c r="E9" i="1" s="1"/>
  <c r="Y31" i="24"/>
  <c r="AA31" i="24" s="1"/>
  <c r="AA24" i="24"/>
  <c r="Z8" i="32" l="1"/>
  <c r="Z7" i="32"/>
  <c r="I54" i="26"/>
  <c r="C54" i="26" s="1"/>
  <c r="C73" i="26"/>
  <c r="C38" i="26"/>
  <c r="C81" i="26" s="1"/>
  <c r="R21" i="18"/>
  <c r="N7" i="18"/>
  <c r="D29" i="18" s="1"/>
  <c r="N34" i="17"/>
  <c r="H16" i="5"/>
  <c r="G2" i="19"/>
  <c r="O8" i="18"/>
  <c r="P13" i="18"/>
  <c r="P11" i="18"/>
  <c r="H26" i="17"/>
  <c r="I26" i="17" s="1"/>
  <c r="O28" i="17"/>
  <c r="AA23" i="24"/>
  <c r="D17" i="27"/>
  <c r="D22" i="27"/>
  <c r="D16" i="27"/>
  <c r="D21" i="27"/>
  <c r="D15" i="27"/>
  <c r="D20" i="27"/>
  <c r="J7" i="31"/>
  <c r="P7" i="31" s="1"/>
  <c r="AI8" i="31"/>
  <c r="AI11" i="31" s="1"/>
  <c r="S15" i="32"/>
  <c r="D14" i="32"/>
  <c r="AS8" i="31"/>
  <c r="AS11" i="31" s="1"/>
  <c r="AS7" i="31"/>
  <c r="AS10" i="31" s="1"/>
  <c r="AI10" i="25"/>
  <c r="AI8" i="25"/>
  <c r="AI7" i="25"/>
  <c r="Q10" i="18"/>
  <c r="N10" i="18"/>
  <c r="R7" i="18"/>
  <c r="D45" i="15"/>
  <c r="D39" i="27"/>
  <c r="D36" i="27"/>
  <c r="D41" i="27"/>
  <c r="D35" i="27"/>
  <c r="D34" i="27"/>
  <c r="D40" i="27"/>
  <c r="Z8" i="25"/>
  <c r="Z7" i="25"/>
  <c r="Z10" i="25" s="1"/>
  <c r="BC10" i="25"/>
  <c r="BC7" i="25"/>
  <c r="AB20" i="32"/>
  <c r="S15" i="25"/>
  <c r="H25" i="30" s="1"/>
  <c r="H38" i="45" s="1"/>
  <c r="C74" i="26"/>
  <c r="Y29" i="24"/>
  <c r="E6" i="1" s="1"/>
  <c r="C37" i="26"/>
  <c r="C43" i="26"/>
  <c r="Q12" i="18"/>
  <c r="O9" i="18"/>
  <c r="Q15" i="18"/>
  <c r="N15" i="18"/>
  <c r="D35" i="18" s="1"/>
  <c r="G19" i="15"/>
  <c r="G20" i="15" s="1"/>
  <c r="G21" i="15" s="1"/>
  <c r="E6" i="16"/>
  <c r="O12" i="18"/>
  <c r="N12" i="18"/>
  <c r="D32" i="18" s="1"/>
  <c r="H23" i="17"/>
  <c r="I23" i="17" s="1"/>
  <c r="D42" i="26"/>
  <c r="D41" i="26"/>
  <c r="D43" i="26"/>
  <c r="J48" i="26"/>
  <c r="P63" i="26"/>
  <c r="P58" i="26"/>
  <c r="P62" i="26"/>
  <c r="P65" i="26" s="1"/>
  <c r="P59" i="26"/>
  <c r="P64" i="26"/>
  <c r="P57" i="26"/>
  <c r="AI10" i="32"/>
  <c r="AI8" i="32"/>
  <c r="AI7" i="32"/>
  <c r="AS8" i="32"/>
  <c r="AS7" i="32"/>
  <c r="D5" i="31"/>
  <c r="Z8" i="31"/>
  <c r="Z11" i="31" s="1"/>
  <c r="D22" i="26"/>
  <c r="D24" i="26"/>
  <c r="D23" i="26"/>
  <c r="H8" i="3"/>
  <c r="D22" i="3"/>
  <c r="H18" i="3" s="1"/>
  <c r="D16" i="7"/>
  <c r="G8" i="3"/>
  <c r="J8" i="3" s="1"/>
  <c r="R8" i="25"/>
  <c r="R11" i="25" s="1"/>
  <c r="AF17" i="24"/>
  <c r="P17" i="24"/>
  <c r="Z17" i="24"/>
  <c r="AF22" i="24"/>
  <c r="V22" i="24"/>
  <c r="D19" i="26"/>
  <c r="V7" i="26" s="1"/>
  <c r="E118" i="30" s="1"/>
  <c r="E24" i="21" s="1"/>
  <c r="D18" i="26"/>
  <c r="D17" i="26"/>
  <c r="R34" i="3"/>
  <c r="I32" i="7"/>
  <c r="T4" i="21"/>
  <c r="AR11" i="31"/>
  <c r="V6" i="21"/>
  <c r="I108" i="30"/>
  <c r="I19" i="45" s="1"/>
  <c r="R13" i="26"/>
  <c r="I111" i="30" s="1"/>
  <c r="I22" i="45" s="1"/>
  <c r="I186" i="45" s="1"/>
  <c r="P35" i="3"/>
  <c r="G247" i="30" s="1"/>
  <c r="P44" i="7"/>
  <c r="G260" i="30" s="1"/>
  <c r="G234" i="30"/>
  <c r="C46" i="21"/>
  <c r="C44" i="21"/>
  <c r="C45" i="21"/>
  <c r="V21" i="24"/>
  <c r="I56" i="26"/>
  <c r="C56" i="26" s="1"/>
  <c r="C41" i="27"/>
  <c r="C35" i="27"/>
  <c r="C41" i="26"/>
  <c r="G35" i="15"/>
  <c r="N26" i="17"/>
  <c r="H30" i="17"/>
  <c r="I30" i="17" s="1"/>
  <c r="L16" i="1"/>
  <c r="I7" i="21" s="1"/>
  <c r="H129" i="30" s="1"/>
  <c r="I181" i="30"/>
  <c r="J140" i="45" s="1"/>
  <c r="L19" i="1"/>
  <c r="I11" i="21" s="1"/>
  <c r="H134" i="30" s="1"/>
  <c r="I186" i="30"/>
  <c r="J145" i="45" s="1"/>
  <c r="P45" i="7"/>
  <c r="G261" i="30" s="1"/>
  <c r="P36" i="3"/>
  <c r="G248" i="30" s="1"/>
  <c r="G235" i="30"/>
  <c r="D14" i="3"/>
  <c r="D20" i="3" s="1"/>
  <c r="F18" i="3" s="1"/>
  <c r="D37" i="26"/>
  <c r="D36" i="26"/>
  <c r="G5" i="26" s="1"/>
  <c r="D38" i="26"/>
  <c r="D32" i="25"/>
  <c r="D37" i="32"/>
  <c r="AC8" i="32" s="1"/>
  <c r="D51" i="21"/>
  <c r="G163" i="30" s="1"/>
  <c r="G122" i="45" s="1"/>
  <c r="D46" i="21"/>
  <c r="M55" i="45"/>
  <c r="I190" i="45"/>
  <c r="J13" i="26"/>
  <c r="I98" i="30" s="1"/>
  <c r="I33" i="45" s="1"/>
  <c r="I187" i="45" s="1"/>
  <c r="D37" i="25"/>
  <c r="AC8" i="25" s="1"/>
  <c r="E8" i="27"/>
  <c r="O13" i="18"/>
  <c r="C20" i="15"/>
  <c r="D46" i="15" s="1"/>
  <c r="N13" i="18"/>
  <c r="D33" i="18" s="1"/>
  <c r="E36" i="15"/>
  <c r="E37" i="15" s="1"/>
  <c r="E38" i="15" s="1"/>
  <c r="O25" i="17"/>
  <c r="E8" i="22"/>
  <c r="E9" i="22" s="1"/>
  <c r="E10" i="22" s="1"/>
  <c r="E12" i="22" s="1"/>
  <c r="E13" i="22" s="1"/>
  <c r="E14" i="22" s="1"/>
  <c r="E16" i="22" s="1"/>
  <c r="E17" i="22" s="1"/>
  <c r="O34" i="17"/>
  <c r="H17" i="13"/>
  <c r="J141" i="45"/>
  <c r="L18" i="1"/>
  <c r="I185" i="30"/>
  <c r="L20" i="1"/>
  <c r="I12" i="21" s="1"/>
  <c r="H135" i="30" s="1"/>
  <c r="I187" i="30"/>
  <c r="J146" i="45" s="1"/>
  <c r="V4" i="21"/>
  <c r="Q10" i="25"/>
  <c r="D50" i="21"/>
  <c r="G162" i="30" s="1"/>
  <c r="G121" i="45" s="1"/>
  <c r="D45" i="21"/>
  <c r="G157" i="30" s="1"/>
  <c r="G116" i="45" s="1"/>
  <c r="H11" i="1"/>
  <c r="Z10" i="26" s="1"/>
  <c r="B5" i="14"/>
  <c r="S21" i="24"/>
  <c r="I16" i="1"/>
  <c r="Z24" i="24"/>
  <c r="E5" i="26"/>
  <c r="D13" i="5"/>
  <c r="D31" i="18"/>
  <c r="R22" i="18"/>
  <c r="Y26" i="18" s="1"/>
  <c r="H14" i="13"/>
  <c r="C32" i="14" s="1"/>
  <c r="F9" i="5"/>
  <c r="H27" i="17"/>
  <c r="I27" i="17" s="1"/>
  <c r="H33" i="17"/>
  <c r="I33" i="17" s="1"/>
  <c r="H34" i="17"/>
  <c r="I34" i="17" s="1"/>
  <c r="N24" i="17"/>
  <c r="H29" i="17"/>
  <c r="I29" i="17" s="1"/>
  <c r="G35" i="22"/>
  <c r="G36" i="22" s="1"/>
  <c r="G37" i="22" s="1"/>
  <c r="G38" i="22" s="1"/>
  <c r="I14" i="13"/>
  <c r="D32" i="14" s="1"/>
  <c r="J13" i="13"/>
  <c r="L22" i="4"/>
  <c r="D47" i="21"/>
  <c r="G231" i="30"/>
  <c r="P32" i="3"/>
  <c r="G244" i="30" s="1"/>
  <c r="J10" i="25"/>
  <c r="J19" i="25" s="1"/>
  <c r="D49" i="21"/>
  <c r="G161" i="30" s="1"/>
  <c r="G120" i="45" s="1"/>
  <c r="D44" i="21"/>
  <c r="G156" i="30" s="1"/>
  <c r="G115" i="45" s="1"/>
  <c r="Y27" i="24"/>
  <c r="E4" i="1" s="1"/>
  <c r="S17" i="24"/>
  <c r="Z23" i="24"/>
  <c r="AR11" i="32"/>
  <c r="Q8" i="32"/>
  <c r="Q11" i="32" s="1"/>
  <c r="AI11" i="32"/>
  <c r="AI18" i="32" s="1"/>
  <c r="AR10" i="31"/>
  <c r="G158" i="30"/>
  <c r="G117" i="45" s="1"/>
  <c r="I18" i="4"/>
  <c r="P7" i="1"/>
  <c r="T7" i="1" s="1"/>
  <c r="K17" i="1"/>
  <c r="I6" i="15"/>
  <c r="I20" i="4"/>
  <c r="I14" i="4"/>
  <c r="D26" i="14" s="1"/>
  <c r="J14" i="4"/>
  <c r="G17" i="1"/>
  <c r="AB18" i="32"/>
  <c r="G7" i="27"/>
  <c r="P5" i="1"/>
  <c r="U5" i="1" s="1"/>
  <c r="L17" i="13"/>
  <c r="S19" i="32"/>
  <c r="J17" i="4"/>
  <c r="D6" i="14"/>
  <c r="I17" i="13"/>
  <c r="I13" i="13"/>
  <c r="D31" i="14" s="1"/>
  <c r="S18" i="32"/>
  <c r="K19" i="1"/>
  <c r="AB19" i="32"/>
  <c r="N37" i="7"/>
  <c r="E253" i="30"/>
  <c r="S37" i="7"/>
  <c r="J253" i="30"/>
  <c r="E18" i="7"/>
  <c r="F253" i="30"/>
  <c r="O37" i="7"/>
  <c r="S19" i="31"/>
  <c r="S18" i="31"/>
  <c r="K18" i="31"/>
  <c r="AR18" i="31" s="1"/>
  <c r="K19" i="31"/>
  <c r="AR19" i="31" s="1"/>
  <c r="Q7" i="31"/>
  <c r="Q10" i="31" s="1"/>
  <c r="AR7" i="31"/>
  <c r="G18" i="30"/>
  <c r="D52" i="21" s="1"/>
  <c r="L14" i="4"/>
  <c r="L13" i="13"/>
  <c r="G20" i="1"/>
  <c r="F12" i="27"/>
  <c r="L22" i="13"/>
  <c r="E20" i="1"/>
  <c r="G11" i="27"/>
  <c r="BC19" i="25"/>
  <c r="G81" i="30" s="1"/>
  <c r="F11" i="27"/>
  <c r="S19" i="25"/>
  <c r="H29" i="30" s="1"/>
  <c r="H42" i="45" s="1"/>
  <c r="BB19" i="25"/>
  <c r="F81" i="30" s="1"/>
  <c r="D5" i="14"/>
  <c r="S14" i="25"/>
  <c r="H24" i="30" s="1"/>
  <c r="H37" i="45" s="1"/>
  <c r="C15" i="14"/>
  <c r="H20" i="4"/>
  <c r="J19" i="15"/>
  <c r="G16" i="1"/>
  <c r="P12" i="1"/>
  <c r="T12" i="1" s="1"/>
  <c r="X6" i="26"/>
  <c r="G117" i="30" s="1"/>
  <c r="S14" i="31"/>
  <c r="L15" i="1"/>
  <c r="I6" i="21" s="1"/>
  <c r="H128" i="30" s="1"/>
  <c r="G18" i="4"/>
  <c r="S13" i="32"/>
  <c r="G22" i="13"/>
  <c r="B34" i="14" s="1"/>
  <c r="B15" i="14"/>
  <c r="H15" i="1"/>
  <c r="G13" i="13"/>
  <c r="B31" i="14" s="1"/>
  <c r="S13" i="25"/>
  <c r="H23" i="30" s="1"/>
  <c r="H36" i="45" s="1"/>
  <c r="S13" i="31"/>
  <c r="P8" i="1"/>
  <c r="Q8" i="1" s="1"/>
  <c r="G17" i="13"/>
  <c r="P10" i="1"/>
  <c r="S10" i="1" s="1"/>
  <c r="P6" i="1"/>
  <c r="Q6" i="1" s="1"/>
  <c r="D15" i="1"/>
  <c r="E79" i="26"/>
  <c r="Q5" i="26" s="1"/>
  <c r="H103" i="30" s="1"/>
  <c r="H14" i="45" s="1"/>
  <c r="J14" i="13"/>
  <c r="AA34" i="24"/>
  <c r="J19" i="4"/>
  <c r="J21" i="4"/>
  <c r="AA29" i="24"/>
  <c r="J22" i="13"/>
  <c r="J17" i="13"/>
  <c r="AA30" i="24"/>
  <c r="G6" i="14"/>
  <c r="J19" i="13"/>
  <c r="M14" i="3"/>
  <c r="J24" i="13"/>
  <c r="K18" i="25"/>
  <c r="E8" i="1"/>
  <c r="BB18" i="25"/>
  <c r="AA27" i="24"/>
  <c r="S18" i="25"/>
  <c r="C9" i="20"/>
  <c r="H6" i="20" s="1"/>
  <c r="D18" i="1"/>
  <c r="J21" i="1"/>
  <c r="AA33" i="24"/>
  <c r="F10" i="27"/>
  <c r="AF23" i="24"/>
  <c r="V23" i="24"/>
  <c r="AC23" i="24"/>
  <c r="P22" i="24"/>
  <c r="AC22" i="24"/>
  <c r="S22" i="24"/>
  <c r="G21" i="1"/>
  <c r="J16" i="13"/>
  <c r="C16" i="16"/>
  <c r="D32" i="16"/>
  <c r="AA32" i="24"/>
  <c r="H10" i="27"/>
  <c r="G23" i="1"/>
  <c r="G24" i="1"/>
  <c r="J22" i="4" s="1"/>
  <c r="D23" i="3"/>
  <c r="I18" i="3" s="1"/>
  <c r="K15" i="1"/>
  <c r="D21" i="7"/>
  <c r="G18" i="7" s="1"/>
  <c r="G8" i="7"/>
  <c r="N25" i="17"/>
  <c r="E15" i="16"/>
  <c r="E16" i="16" s="1"/>
  <c r="E17" i="16" s="1"/>
  <c r="E18" i="16" s="1"/>
  <c r="F17" i="5"/>
  <c r="G19" i="22"/>
  <c r="H10" i="5"/>
  <c r="S14" i="32"/>
  <c r="Z11" i="32"/>
  <c r="Z10" i="32"/>
  <c r="AB14" i="32"/>
  <c r="F7" i="27"/>
  <c r="X7" i="26"/>
  <c r="G118" i="30" s="1"/>
  <c r="G15" i="1"/>
  <c r="G15" i="4"/>
  <c r="S15" i="31"/>
  <c r="P14" i="18"/>
  <c r="N28" i="17"/>
  <c r="N14" i="18"/>
  <c r="D34" i="18" s="1"/>
  <c r="G22" i="15"/>
  <c r="D23" i="7"/>
  <c r="I8" i="7"/>
  <c r="F8" i="7"/>
  <c r="D20" i="7"/>
  <c r="F18" i="7" s="1"/>
  <c r="O15" i="18"/>
  <c r="R15" i="18"/>
  <c r="E35" i="18" s="1"/>
  <c r="L20" i="4"/>
  <c r="G20" i="4"/>
  <c r="C17" i="22"/>
  <c r="C16" i="22" s="1"/>
  <c r="C20" i="22"/>
  <c r="D46" i="22" s="1"/>
  <c r="D45" i="22"/>
  <c r="Y28" i="24"/>
  <c r="AA18" i="24"/>
  <c r="K18" i="1"/>
  <c r="M14" i="7"/>
  <c r="M15" i="7" s="1"/>
  <c r="G24" i="7" s="1"/>
  <c r="G18" i="1"/>
  <c r="M20" i="3"/>
  <c r="M20" i="7" s="1"/>
  <c r="M21" i="7" s="1"/>
  <c r="G32" i="7" s="1"/>
  <c r="Q43" i="7" s="1"/>
  <c r="G10" i="27"/>
  <c r="Z28" i="24"/>
  <c r="AB28" i="24" s="1"/>
  <c r="Q11" i="31"/>
  <c r="AB7" i="31"/>
  <c r="AB10" i="31" s="1"/>
  <c r="P21" i="24"/>
  <c r="AF21" i="24"/>
  <c r="G22" i="4"/>
  <c r="G14" i="4"/>
  <c r="AS10" i="32"/>
  <c r="AS11" i="32"/>
  <c r="K10" i="32"/>
  <c r="K18" i="32" s="1"/>
  <c r="AR7" i="32"/>
  <c r="F5" i="27"/>
  <c r="BB20" i="25"/>
  <c r="F82" i="30" s="1"/>
  <c r="C10" i="20"/>
  <c r="I6" i="20" s="1"/>
  <c r="G14" i="13"/>
  <c r="Q14" i="18"/>
  <c r="G24" i="22"/>
  <c r="G25" i="22" s="1"/>
  <c r="F36" i="15"/>
  <c r="F37" i="15" s="1"/>
  <c r="F38" i="15" s="1"/>
  <c r="E29" i="18"/>
  <c r="H4" i="5"/>
  <c r="H22" i="13"/>
  <c r="C34" i="14" s="1"/>
  <c r="I22" i="13"/>
  <c r="D34" i="14" s="1"/>
  <c r="F8" i="15"/>
  <c r="F9" i="15" s="1"/>
  <c r="F10" i="15" s="1"/>
  <c r="F12" i="15" s="1"/>
  <c r="F13" i="15" s="1"/>
  <c r="F14" i="15" s="1"/>
  <c r="F16" i="15" s="1"/>
  <c r="F17" i="15" s="1"/>
  <c r="F20" i="15"/>
  <c r="F21" i="15" s="1"/>
  <c r="F22" i="15" s="1"/>
  <c r="Q9" i="18"/>
  <c r="Q19" i="18" s="1"/>
  <c r="P9" i="18"/>
  <c r="N9" i="18"/>
  <c r="N19" i="18" s="1"/>
  <c r="G19" i="18"/>
  <c r="I10" i="18"/>
  <c r="R8" i="18"/>
  <c r="E30" i="18" s="1"/>
  <c r="O27" i="17"/>
  <c r="N27" i="17"/>
  <c r="J15" i="4"/>
  <c r="H15" i="4"/>
  <c r="C28" i="14" s="1"/>
  <c r="J21" i="15" s="1"/>
  <c r="I15" i="4"/>
  <c r="D28" i="14" s="1"/>
  <c r="L15" i="4"/>
  <c r="F24" i="22"/>
  <c r="F25" i="22" s="1"/>
  <c r="F26" i="22" s="1"/>
  <c r="F28" i="22" s="1"/>
  <c r="F29" i="22" s="1"/>
  <c r="F30" i="22" s="1"/>
  <c r="F32" i="22" s="1"/>
  <c r="F33" i="22" s="1"/>
  <c r="F36" i="22"/>
  <c r="F37" i="22" s="1"/>
  <c r="F38" i="22" s="1"/>
  <c r="H24" i="17"/>
  <c r="I24" i="17" s="1"/>
  <c r="L17" i="1"/>
  <c r="BB15" i="25" s="1"/>
  <c r="D15" i="14"/>
  <c r="K24" i="22" s="1"/>
  <c r="L14" i="13"/>
  <c r="L18" i="4"/>
  <c r="S18" i="24"/>
  <c r="Z18" i="24"/>
  <c r="AF18" i="24"/>
  <c r="S23" i="24"/>
  <c r="P23" i="24"/>
  <c r="O6" i="1"/>
  <c r="F21" i="1" s="1"/>
  <c r="Z29" i="24"/>
  <c r="AB29" i="24" s="1"/>
  <c r="H32" i="17"/>
  <c r="I32" i="17" s="1"/>
  <c r="I22" i="4"/>
  <c r="BE7" i="25"/>
  <c r="AB7" i="25"/>
  <c r="AB10" i="25" s="1"/>
  <c r="AB20" i="25" s="1"/>
  <c r="G43" i="30" s="1"/>
  <c r="G54" i="45" s="1"/>
  <c r="D14" i="31"/>
  <c r="D37" i="31"/>
  <c r="AC8" i="31" s="1"/>
  <c r="P24" i="24"/>
  <c r="H9" i="5"/>
  <c r="O33" i="17"/>
  <c r="BE9" i="25"/>
  <c r="D75" i="26"/>
  <c r="D81" i="26" s="1"/>
  <c r="I7" i="26" s="1"/>
  <c r="AR8" i="31"/>
  <c r="D138" i="30"/>
  <c r="Q10" i="32"/>
  <c r="S20" i="24"/>
  <c r="Z20" i="24"/>
  <c r="Z11" i="25"/>
  <c r="AR8" i="32"/>
  <c r="N24" i="22"/>
  <c r="L21" i="1"/>
  <c r="I9" i="21" s="1"/>
  <c r="T13" i="24"/>
  <c r="J21" i="13"/>
  <c r="P9" i="1"/>
  <c r="S9" i="1" s="1"/>
  <c r="I15" i="1"/>
  <c r="M10" i="26"/>
  <c r="B95" i="30"/>
  <c r="B91" i="30"/>
  <c r="M6" i="26"/>
  <c r="C72" i="26"/>
  <c r="I50" i="26"/>
  <c r="C50" i="26" s="1"/>
  <c r="I19" i="1"/>
  <c r="F77" i="26"/>
  <c r="E81" i="26"/>
  <c r="Q7" i="26" s="1"/>
  <c r="H105" i="30" s="1"/>
  <c r="H16" i="45" s="1"/>
  <c r="E80" i="26"/>
  <c r="E85" i="26"/>
  <c r="Q11" i="26" s="1"/>
  <c r="H109" i="30" s="1"/>
  <c r="H20" i="45" s="1"/>
  <c r="E84" i="26"/>
  <c r="N6" i="15"/>
  <c r="O58" i="26"/>
  <c r="I58" i="26" s="1"/>
  <c r="C58" i="26" s="1"/>
  <c r="C80" i="26"/>
  <c r="F20" i="1"/>
  <c r="X12" i="26"/>
  <c r="G123" i="30" s="1"/>
  <c r="L13" i="4"/>
  <c r="G13" i="4"/>
  <c r="J13" i="4"/>
  <c r="I13" i="4"/>
  <c r="D23" i="14" s="1"/>
  <c r="H13" i="4"/>
  <c r="C23" i="14" s="1"/>
  <c r="K13" i="4"/>
  <c r="M12" i="26"/>
  <c r="B97" i="30"/>
  <c r="AB13" i="32"/>
  <c r="B6" i="14"/>
  <c r="E86" i="26"/>
  <c r="Q12" i="26" s="1"/>
  <c r="H110" i="30" s="1"/>
  <c r="H21" i="45" s="1"/>
  <c r="AC11" i="25"/>
  <c r="AK8" i="25"/>
  <c r="AU8" i="25" s="1"/>
  <c r="M5" i="26"/>
  <c r="B90" i="30"/>
  <c r="B96" i="30"/>
  <c r="M11" i="26"/>
  <c r="C84" i="26"/>
  <c r="O62" i="26"/>
  <c r="I62" i="26" s="1"/>
  <c r="C62" i="26" s="1"/>
  <c r="D27" i="16"/>
  <c r="C11" i="16"/>
  <c r="F20" i="22"/>
  <c r="F21" i="22" s="1"/>
  <c r="F22" i="22" s="1"/>
  <c r="F8" i="22"/>
  <c r="F9" i="22" s="1"/>
  <c r="F10" i="22" s="1"/>
  <c r="F12" i="22" s="1"/>
  <c r="F13" i="22" s="1"/>
  <c r="F14" i="22" s="1"/>
  <c r="F16" i="22" s="1"/>
  <c r="F17" i="22" s="1"/>
  <c r="K17" i="13"/>
  <c r="K14" i="4"/>
  <c r="K18" i="4"/>
  <c r="K20" i="4"/>
  <c r="K22" i="13"/>
  <c r="K14" i="13"/>
  <c r="K13" i="13"/>
  <c r="G19" i="1"/>
  <c r="K15" i="4"/>
  <c r="B92" i="30"/>
  <c r="M7" i="26"/>
  <c r="C75" i="26"/>
  <c r="I53" i="26"/>
  <c r="C53" i="26" s="1"/>
  <c r="P7" i="32"/>
  <c r="J10" i="32"/>
  <c r="J18" i="32" s="1"/>
  <c r="G6" i="27"/>
  <c r="D16" i="1"/>
  <c r="P4" i="1"/>
  <c r="Q4" i="1" s="1"/>
  <c r="C5" i="14"/>
  <c r="J16" i="1"/>
  <c r="P11" i="1"/>
  <c r="O63" i="26"/>
  <c r="I63" i="26" s="1"/>
  <c r="C63" i="26" s="1"/>
  <c r="C85" i="26"/>
  <c r="C39" i="26"/>
  <c r="E8" i="26"/>
  <c r="C40" i="27"/>
  <c r="E11" i="27"/>
  <c r="P7" i="25"/>
  <c r="P10" i="25" s="1"/>
  <c r="P19" i="25" s="1"/>
  <c r="AB15" i="32"/>
  <c r="O59" i="26"/>
  <c r="I59" i="26" s="1"/>
  <c r="C59" i="26" s="1"/>
  <c r="E8" i="15"/>
  <c r="E9" i="15" s="1"/>
  <c r="E10" i="15" s="1"/>
  <c r="E12" i="15" s="1"/>
  <c r="E13" i="15" s="1"/>
  <c r="E14" i="15" s="1"/>
  <c r="E16" i="15" s="1"/>
  <c r="E17" i="15" s="1"/>
  <c r="E20" i="15"/>
  <c r="E21" i="15" s="1"/>
  <c r="E22" i="15" s="1"/>
  <c r="E13" i="26"/>
  <c r="C44" i="26"/>
  <c r="C42" i="27"/>
  <c r="E13" i="27"/>
  <c r="J10" i="31"/>
  <c r="G12" i="27"/>
  <c r="BC18" i="25"/>
  <c r="G8" i="15"/>
  <c r="Q8" i="25"/>
  <c r="AR11" i="25"/>
  <c r="AR10" i="25"/>
  <c r="AI11" i="25"/>
  <c r="AI14" i="25" s="1"/>
  <c r="G50" i="30" s="1"/>
  <c r="G59" i="45" s="1"/>
  <c r="AR8" i="25"/>
  <c r="Z19" i="31" l="1"/>
  <c r="Z18" i="31"/>
  <c r="Z14" i="31"/>
  <c r="Z13" i="31"/>
  <c r="Z15" i="31"/>
  <c r="AI19" i="31"/>
  <c r="AI13" i="31"/>
  <c r="AI15" i="31"/>
  <c r="AI20" i="31"/>
  <c r="AI18" i="31"/>
  <c r="AI14" i="31"/>
  <c r="AS18" i="31"/>
  <c r="AS14" i="31"/>
  <c r="AS13" i="31"/>
  <c r="AS19" i="31"/>
  <c r="AS15" i="31"/>
  <c r="Y7" i="31"/>
  <c r="Y10" i="31" s="1"/>
  <c r="P10" i="31"/>
  <c r="BC20" i="25"/>
  <c r="G82" i="30" s="1"/>
  <c r="D79" i="26"/>
  <c r="I5" i="26" s="1"/>
  <c r="Q19" i="32"/>
  <c r="I10" i="21"/>
  <c r="H133" i="30" s="1"/>
  <c r="K19" i="25"/>
  <c r="AR19" i="25" s="1"/>
  <c r="F68" i="30" s="1"/>
  <c r="F75" i="45" s="1"/>
  <c r="D48" i="26"/>
  <c r="J62" i="26"/>
  <c r="J59" i="26"/>
  <c r="P7" i="26" s="1"/>
  <c r="G105" i="30" s="1"/>
  <c r="G16" i="45" s="1"/>
  <c r="J64" i="26"/>
  <c r="P12" i="26" s="1"/>
  <c r="G110" i="30" s="1"/>
  <c r="G21" i="45" s="1"/>
  <c r="J58" i="26"/>
  <c r="P6" i="26" s="1"/>
  <c r="G104" i="30" s="1"/>
  <c r="G15" i="45" s="1"/>
  <c r="J63" i="26"/>
  <c r="J57" i="26"/>
  <c r="R11" i="32"/>
  <c r="D16" i="32"/>
  <c r="R8" i="32" s="1"/>
  <c r="R8" i="31"/>
  <c r="R11" i="31" s="1"/>
  <c r="D16" i="31"/>
  <c r="O64" i="26"/>
  <c r="I64" i="26" s="1"/>
  <c r="C64" i="26" s="1"/>
  <c r="C86" i="26"/>
  <c r="D42" i="27"/>
  <c r="AS8" i="25"/>
  <c r="AS11" i="25" s="1"/>
  <c r="AS7" i="25"/>
  <c r="AS10" i="25" s="1"/>
  <c r="D23" i="27"/>
  <c r="C21" i="22"/>
  <c r="D6" i="2"/>
  <c r="D84" i="26"/>
  <c r="I10" i="26" s="1"/>
  <c r="BE13" i="25"/>
  <c r="H75" i="30" s="1"/>
  <c r="H8" i="7"/>
  <c r="O8" i="7" s="1"/>
  <c r="D22" i="7"/>
  <c r="H18" i="7" s="1"/>
  <c r="F8" i="3"/>
  <c r="W20" i="43" s="1"/>
  <c r="BE15" i="25"/>
  <c r="H77" i="30" s="1"/>
  <c r="C51" i="21"/>
  <c r="C50" i="21"/>
  <c r="G144" i="30"/>
  <c r="G103" i="45" s="1"/>
  <c r="G44" i="21"/>
  <c r="G204" i="30" s="1"/>
  <c r="F44" i="21"/>
  <c r="G192" i="30" s="1"/>
  <c r="G146" i="30"/>
  <c r="G105" i="45" s="1"/>
  <c r="F46" i="21"/>
  <c r="G194" i="30" s="1"/>
  <c r="G153" i="45" s="1"/>
  <c r="G46" i="21"/>
  <c r="G206" i="30" s="1"/>
  <c r="G165" i="45" s="1"/>
  <c r="C47" i="21"/>
  <c r="G145" i="30"/>
  <c r="G104" i="45" s="1"/>
  <c r="G45" i="21"/>
  <c r="G205" i="30" s="1"/>
  <c r="G164" i="45" s="1"/>
  <c r="F45" i="21"/>
  <c r="G193" i="30" s="1"/>
  <c r="G152" i="45" s="1"/>
  <c r="R19" i="25"/>
  <c r="G29" i="30" s="1"/>
  <c r="G42" i="45" s="1"/>
  <c r="R14" i="25"/>
  <c r="G24" i="30" s="1"/>
  <c r="G37" i="45" s="1"/>
  <c r="R18" i="25"/>
  <c r="G28" i="30" s="1"/>
  <c r="G41" i="45" s="1"/>
  <c r="R15" i="25"/>
  <c r="G25" i="30" s="1"/>
  <c r="G38" i="45" s="1"/>
  <c r="R13" i="25"/>
  <c r="G23" i="30" s="1"/>
  <c r="G36" i="45" s="1"/>
  <c r="J20" i="25"/>
  <c r="J18" i="25"/>
  <c r="J21" i="25" s="1"/>
  <c r="AK8" i="32"/>
  <c r="AU8" i="32" s="1"/>
  <c r="AC11" i="32"/>
  <c r="AC20" i="32" s="1"/>
  <c r="AK20" i="32" s="1"/>
  <c r="AU20" i="32" s="1"/>
  <c r="G24" i="15"/>
  <c r="G36" i="15"/>
  <c r="G37" i="15" s="1"/>
  <c r="G38" i="15" s="1"/>
  <c r="P19" i="18"/>
  <c r="V26" i="18" s="1"/>
  <c r="C20" i="14" s="1"/>
  <c r="C21" i="15"/>
  <c r="P34" i="3"/>
  <c r="G246" i="30" s="1"/>
  <c r="G233" i="30"/>
  <c r="H13" i="27"/>
  <c r="I24" i="15"/>
  <c r="K20" i="32"/>
  <c r="AR20" i="32" s="1"/>
  <c r="K19" i="32"/>
  <c r="AR19" i="32" s="1"/>
  <c r="K35" i="15"/>
  <c r="G6" i="16"/>
  <c r="G6" i="22"/>
  <c r="N6" i="22" s="1"/>
  <c r="F43" i="22" s="1"/>
  <c r="F13" i="5"/>
  <c r="E7" i="16"/>
  <c r="D14" i="5"/>
  <c r="I183" i="30"/>
  <c r="J142" i="45" s="1"/>
  <c r="K19" i="15"/>
  <c r="S20" i="25"/>
  <c r="S21" i="25" s="1"/>
  <c r="W13" i="24"/>
  <c r="W14" i="24" s="1"/>
  <c r="C11" i="20"/>
  <c r="J6" i="20" s="1"/>
  <c r="AS20" i="32"/>
  <c r="O19" i="18"/>
  <c r="U26" i="18" s="1"/>
  <c r="B20" i="14" s="1"/>
  <c r="K14" i="25"/>
  <c r="BB14" i="25"/>
  <c r="F76" i="30" s="1"/>
  <c r="K14" i="31"/>
  <c r="AR14" i="31" s="1"/>
  <c r="K6" i="16"/>
  <c r="R20" i="25"/>
  <c r="G30" i="30" s="1"/>
  <c r="G43" i="45" s="1"/>
  <c r="K20" i="31"/>
  <c r="AR20" i="31" s="1"/>
  <c r="S20" i="31"/>
  <c r="Z20" i="31"/>
  <c r="Z21" i="31" s="1"/>
  <c r="S20" i="32"/>
  <c r="S21" i="32" s="1"/>
  <c r="I188" i="30"/>
  <c r="J147" i="45" s="1"/>
  <c r="J144" i="45"/>
  <c r="S43" i="7"/>
  <c r="I246" i="30"/>
  <c r="R37" i="3"/>
  <c r="I249" i="30" s="1"/>
  <c r="K20" i="25"/>
  <c r="BA7" i="25"/>
  <c r="BC14" i="25"/>
  <c r="G76" i="30" s="1"/>
  <c r="C7" i="20"/>
  <c r="F6" i="20" s="1"/>
  <c r="J35" i="15"/>
  <c r="AS20" i="31"/>
  <c r="AS21" i="31" s="1"/>
  <c r="AI20" i="32"/>
  <c r="I121" i="30"/>
  <c r="Z13" i="26"/>
  <c r="I124" i="30" s="1"/>
  <c r="J35" i="22"/>
  <c r="Q15" i="32"/>
  <c r="AK11" i="32"/>
  <c r="AU11" i="32" s="1"/>
  <c r="Z13" i="32"/>
  <c r="AI13" i="32"/>
  <c r="AC14" i="32"/>
  <c r="AK14" i="32" s="1"/>
  <c r="AU14" i="32" s="1"/>
  <c r="AI19" i="32"/>
  <c r="AI15" i="32"/>
  <c r="Z15" i="32"/>
  <c r="Z18" i="32"/>
  <c r="Q18" i="32"/>
  <c r="AI14" i="32"/>
  <c r="AS19" i="32"/>
  <c r="Z20" i="32"/>
  <c r="J19" i="32"/>
  <c r="M19" i="32" s="1"/>
  <c r="Q20" i="32"/>
  <c r="AS18" i="32"/>
  <c r="J20" i="32"/>
  <c r="Z19" i="32"/>
  <c r="G159" i="30"/>
  <c r="G118" i="45" s="1"/>
  <c r="G164" i="30"/>
  <c r="G123" i="45" s="1"/>
  <c r="G198" i="45" s="1"/>
  <c r="N20" i="4"/>
  <c r="O20" i="4" s="1"/>
  <c r="N18" i="4"/>
  <c r="O18" i="4" s="1"/>
  <c r="U7" i="1"/>
  <c r="S5" i="1"/>
  <c r="Q7" i="1"/>
  <c r="F7" i="26"/>
  <c r="E92" i="30" s="1"/>
  <c r="E27" i="45" s="1"/>
  <c r="C6" i="20"/>
  <c r="E6" i="20" s="1"/>
  <c r="N17" i="13"/>
  <c r="O17" i="13" s="1"/>
  <c r="N7" i="26"/>
  <c r="E105" i="30" s="1"/>
  <c r="E16" i="45" s="1"/>
  <c r="T5" i="1"/>
  <c r="S7" i="1"/>
  <c r="Q5" i="1"/>
  <c r="AB21" i="32"/>
  <c r="K19" i="22"/>
  <c r="K37" i="22"/>
  <c r="K35" i="22"/>
  <c r="E87" i="26"/>
  <c r="S16" i="32"/>
  <c r="O36" i="3"/>
  <c r="F248" i="30" s="1"/>
  <c r="O45" i="7"/>
  <c r="F261" i="30" s="1"/>
  <c r="F235" i="30"/>
  <c r="V11" i="26"/>
  <c r="N11" i="26"/>
  <c r="F11" i="26"/>
  <c r="V6" i="26"/>
  <c r="N6" i="26"/>
  <c r="F6" i="26"/>
  <c r="O12" i="26"/>
  <c r="G12" i="26"/>
  <c r="H92" i="30"/>
  <c r="H27" i="45" s="1"/>
  <c r="Q31" i="3"/>
  <c r="E228" i="30"/>
  <c r="N38" i="7"/>
  <c r="N29" i="3"/>
  <c r="N43" i="7"/>
  <c r="E233" i="30"/>
  <c r="N34" i="3"/>
  <c r="F13" i="27"/>
  <c r="W10" i="26"/>
  <c r="D44" i="26"/>
  <c r="O10" i="26"/>
  <c r="G10" i="26"/>
  <c r="D39" i="26"/>
  <c r="O5" i="26"/>
  <c r="F103" i="30" s="1"/>
  <c r="F14" i="45" s="1"/>
  <c r="F90" i="30"/>
  <c r="F25" i="45" s="1"/>
  <c r="N36" i="3"/>
  <c r="E235" i="30"/>
  <c r="N45" i="7"/>
  <c r="O7" i="26"/>
  <c r="G7" i="26"/>
  <c r="F229" i="30"/>
  <c r="O39" i="7"/>
  <c r="F255" i="30" s="1"/>
  <c r="O30" i="3"/>
  <c r="F242" i="30" s="1"/>
  <c r="L8" i="7"/>
  <c r="J18" i="3"/>
  <c r="F80" i="30"/>
  <c r="BB21" i="25"/>
  <c r="F83" i="30" s="1"/>
  <c r="K21" i="25"/>
  <c r="N13" i="13"/>
  <c r="O13" i="13" s="1"/>
  <c r="Q12" i="1"/>
  <c r="O35" i="3"/>
  <c r="F247" i="30" s="1"/>
  <c r="F234" i="30"/>
  <c r="O44" i="7"/>
  <c r="F260" i="30" s="1"/>
  <c r="V12" i="26"/>
  <c r="E123" i="30" s="1"/>
  <c r="E29" i="21" s="1"/>
  <c r="N12" i="26"/>
  <c r="E110" i="30" s="1"/>
  <c r="E21" i="45" s="1"/>
  <c r="F12" i="26"/>
  <c r="E97" i="30" s="1"/>
  <c r="E32" i="45" s="1"/>
  <c r="M18" i="32"/>
  <c r="AR18" i="32"/>
  <c r="K21" i="32"/>
  <c r="O31" i="3"/>
  <c r="F243" i="30" s="1"/>
  <c r="F230" i="30"/>
  <c r="O40" i="7"/>
  <c r="F256" i="30" s="1"/>
  <c r="O6" i="26"/>
  <c r="G6" i="26"/>
  <c r="F91" i="30" s="1"/>
  <c r="F26" i="45" s="1"/>
  <c r="O11" i="26"/>
  <c r="G11" i="26"/>
  <c r="N44" i="7"/>
  <c r="E234" i="30"/>
  <c r="N35" i="3"/>
  <c r="P10" i="26"/>
  <c r="F233" i="30"/>
  <c r="O34" i="3"/>
  <c r="F246" i="30" s="1"/>
  <c r="O43" i="7"/>
  <c r="G13" i="27"/>
  <c r="I7" i="27"/>
  <c r="C8" i="21" s="1"/>
  <c r="K8" i="21" s="1"/>
  <c r="N40" i="7"/>
  <c r="N31" i="3"/>
  <c r="E230" i="30"/>
  <c r="V10" i="26"/>
  <c r="E121" i="30" s="1"/>
  <c r="E27" i="21" s="1"/>
  <c r="N10" i="26"/>
  <c r="F10" i="26"/>
  <c r="D25" i="26"/>
  <c r="X10" i="26"/>
  <c r="V5" i="26"/>
  <c r="N5" i="26"/>
  <c r="F5" i="26"/>
  <c r="BC21" i="25"/>
  <c r="Q46" i="7"/>
  <c r="H262" i="30" s="1"/>
  <c r="H259" i="30"/>
  <c r="E31" i="14"/>
  <c r="E170" i="30"/>
  <c r="E129" i="45" s="1"/>
  <c r="H28" i="30"/>
  <c r="H41" i="45" s="1"/>
  <c r="AR21" i="31"/>
  <c r="Z16" i="31"/>
  <c r="S21" i="31"/>
  <c r="AI21" i="31"/>
  <c r="Q19" i="31"/>
  <c r="Q18" i="31"/>
  <c r="Q20" i="31"/>
  <c r="Q15" i="31"/>
  <c r="Q14" i="31"/>
  <c r="Q13" i="31"/>
  <c r="Y13" i="31"/>
  <c r="Y19" i="31"/>
  <c r="AH19" i="31" s="1"/>
  <c r="AQ19" i="31" s="1"/>
  <c r="Y20" i="31"/>
  <c r="AH20" i="31" s="1"/>
  <c r="AQ20" i="31" s="1"/>
  <c r="Y18" i="31"/>
  <c r="J15" i="31"/>
  <c r="J19" i="31"/>
  <c r="J20" i="31"/>
  <c r="M20" i="31" s="1"/>
  <c r="J18" i="31"/>
  <c r="M18" i="31" s="1"/>
  <c r="AH7" i="31"/>
  <c r="AQ7" i="31" s="1"/>
  <c r="P19" i="31"/>
  <c r="P18" i="31"/>
  <c r="P20" i="31"/>
  <c r="R20" i="31"/>
  <c r="R19" i="31"/>
  <c r="R18" i="31"/>
  <c r="AB13" i="31"/>
  <c r="AB19" i="31"/>
  <c r="AB20" i="31"/>
  <c r="AB18" i="31"/>
  <c r="M14" i="4"/>
  <c r="G26" i="14" s="1"/>
  <c r="N19" i="15" s="1"/>
  <c r="M13" i="13"/>
  <c r="G31" i="14" s="1"/>
  <c r="I11" i="27"/>
  <c r="C11" i="21" s="1"/>
  <c r="K11" i="21" s="1"/>
  <c r="K134" i="30" s="1"/>
  <c r="F16" i="30"/>
  <c r="D39" i="21" s="1"/>
  <c r="F162" i="30" s="1"/>
  <c r="F121" i="45" s="1"/>
  <c r="M14" i="13"/>
  <c r="G32" i="14" s="1"/>
  <c r="K6" i="15"/>
  <c r="N22" i="4"/>
  <c r="P22" i="4" s="1"/>
  <c r="S12" i="1"/>
  <c r="T10" i="1"/>
  <c r="AI16" i="31"/>
  <c r="J37" i="22"/>
  <c r="S16" i="31"/>
  <c r="U10" i="1"/>
  <c r="Q10" i="1"/>
  <c r="I3" i="43" s="1"/>
  <c r="U12" i="1"/>
  <c r="P60" i="26"/>
  <c r="S16" i="25"/>
  <c r="H26" i="30" s="1"/>
  <c r="H39" i="45" s="1"/>
  <c r="E34" i="14"/>
  <c r="BB13" i="25"/>
  <c r="F75" i="30" s="1"/>
  <c r="J13" i="25"/>
  <c r="BC13" i="25"/>
  <c r="G75" i="30" s="1"/>
  <c r="W5" i="26"/>
  <c r="F116" i="30" s="1"/>
  <c r="E33" i="21" s="1"/>
  <c r="F168" i="30" s="1"/>
  <c r="F127" i="45" s="1"/>
  <c r="AS16" i="31"/>
  <c r="U8" i="1"/>
  <c r="T8" i="1"/>
  <c r="S8" i="1"/>
  <c r="K13" i="31"/>
  <c r="AR13" i="31" s="1"/>
  <c r="K13" i="25"/>
  <c r="X5" i="26"/>
  <c r="U6" i="1"/>
  <c r="T6" i="1"/>
  <c r="S6" i="1"/>
  <c r="M8" i="3"/>
  <c r="N26" i="18"/>
  <c r="O30" i="18" s="1"/>
  <c r="N27" i="18"/>
  <c r="O31" i="18" s="1"/>
  <c r="N25" i="18"/>
  <c r="O29" i="18" s="1"/>
  <c r="U27" i="18"/>
  <c r="B21" i="14" s="1"/>
  <c r="AI19" i="25"/>
  <c r="G55" i="30" s="1"/>
  <c r="G64" i="45" s="1"/>
  <c r="Q14" i="32"/>
  <c r="Q13" i="32"/>
  <c r="F75" i="26"/>
  <c r="F79" i="26" s="1"/>
  <c r="Y5" i="26" s="1"/>
  <c r="D86" i="26"/>
  <c r="I12" i="26" s="1"/>
  <c r="I11" i="5"/>
  <c r="AB15" i="25"/>
  <c r="G38" i="30" s="1"/>
  <c r="G49" i="45" s="1"/>
  <c r="AB18" i="25"/>
  <c r="AB14" i="25"/>
  <c r="G37" i="30" s="1"/>
  <c r="G48" i="45" s="1"/>
  <c r="P13" i="31"/>
  <c r="K24" i="15"/>
  <c r="R10" i="18"/>
  <c r="I11" i="18"/>
  <c r="W27" i="18"/>
  <c r="D21" i="14" s="1"/>
  <c r="W25" i="18"/>
  <c r="D19" i="14" s="1"/>
  <c r="W26" i="18"/>
  <c r="D20" i="14" s="1"/>
  <c r="BE18" i="25"/>
  <c r="AR10" i="32"/>
  <c r="K14" i="32"/>
  <c r="AR14" i="32" s="1"/>
  <c r="K15" i="32"/>
  <c r="AR15" i="32" s="1"/>
  <c r="K13" i="32"/>
  <c r="G25" i="7"/>
  <c r="M22" i="7"/>
  <c r="D19" i="7" s="1"/>
  <c r="I18" i="7" s="1"/>
  <c r="M18" i="7" s="1"/>
  <c r="Y25" i="43" s="1"/>
  <c r="H17" i="5"/>
  <c r="G15" i="16"/>
  <c r="N22" i="13"/>
  <c r="O22" i="13" s="1"/>
  <c r="M15" i="4"/>
  <c r="G28" i="14" s="1"/>
  <c r="P15" i="31"/>
  <c r="Z14" i="32"/>
  <c r="D80" i="26"/>
  <c r="I6" i="26" s="1"/>
  <c r="AB19" i="25"/>
  <c r="G42" i="30" s="1"/>
  <c r="G53" i="45" s="1"/>
  <c r="E15" i="14"/>
  <c r="H136" i="30"/>
  <c r="Q27" i="21"/>
  <c r="D140" i="30"/>
  <c r="D139" i="30"/>
  <c r="I8" i="21"/>
  <c r="H130" i="30" s="1"/>
  <c r="H131" i="30" s="1"/>
  <c r="K15" i="31"/>
  <c r="K15" i="25"/>
  <c r="BC15" i="25"/>
  <c r="G26" i="18"/>
  <c r="N30" i="18" s="1"/>
  <c r="G25" i="18"/>
  <c r="N29" i="18" s="1"/>
  <c r="G27" i="18"/>
  <c r="N31" i="18" s="1"/>
  <c r="I6" i="5"/>
  <c r="I5" i="5"/>
  <c r="J24" i="22"/>
  <c r="I24" i="22"/>
  <c r="C8" i="20"/>
  <c r="G6" i="20" s="1"/>
  <c r="D30" i="18"/>
  <c r="Q11" i="25"/>
  <c r="Q14" i="25" s="1"/>
  <c r="F24" i="30" s="1"/>
  <c r="F37" i="45" s="1"/>
  <c r="AC11" i="31"/>
  <c r="AK8" i="31"/>
  <c r="AU8" i="31" s="1"/>
  <c r="BE19" i="25"/>
  <c r="H81" i="30" s="1"/>
  <c r="BE20" i="25"/>
  <c r="H82" i="30" s="1"/>
  <c r="BE14" i="25"/>
  <c r="H76" i="30" s="1"/>
  <c r="N14" i="13"/>
  <c r="O14" i="13" s="1"/>
  <c r="B32" i="14"/>
  <c r="E32" i="14" s="1"/>
  <c r="AS15" i="32"/>
  <c r="AS14" i="32"/>
  <c r="AS13" i="32"/>
  <c r="AB14" i="31"/>
  <c r="AB15" i="31"/>
  <c r="N24" i="7"/>
  <c r="M24" i="7"/>
  <c r="O24" i="7"/>
  <c r="C22" i="15"/>
  <c r="D47" i="15"/>
  <c r="B28" i="14"/>
  <c r="N15" i="4"/>
  <c r="O15" i="4" s="1"/>
  <c r="I10" i="5"/>
  <c r="D29" i="4"/>
  <c r="G29" i="4" s="1"/>
  <c r="G34" i="4" s="1"/>
  <c r="B29" i="14" s="1"/>
  <c r="M22" i="4"/>
  <c r="M34" i="4" s="1"/>
  <c r="AB13" i="25"/>
  <c r="G36" i="30" s="1"/>
  <c r="G47" i="45" s="1"/>
  <c r="P14" i="31"/>
  <c r="K21" i="15"/>
  <c r="D85" i="26"/>
  <c r="I11" i="26" s="1"/>
  <c r="I10" i="27"/>
  <c r="C10" i="21" s="1"/>
  <c r="R14" i="31"/>
  <c r="R15" i="31"/>
  <c r="R13" i="31"/>
  <c r="V27" i="18"/>
  <c r="C21" i="14" s="1"/>
  <c r="V25" i="18"/>
  <c r="C19" i="14" s="1"/>
  <c r="B26" i="14"/>
  <c r="I19" i="22" s="1"/>
  <c r="N14" i="4"/>
  <c r="O14" i="4" s="1"/>
  <c r="E5" i="1"/>
  <c r="AA28" i="24"/>
  <c r="N33" i="4"/>
  <c r="N37" i="4" s="1"/>
  <c r="B43" i="14" s="1"/>
  <c r="AR14" i="25"/>
  <c r="F63" i="30" s="1"/>
  <c r="F70" i="45" s="1"/>
  <c r="F11" i="30"/>
  <c r="D34" i="21" s="1"/>
  <c r="F157" i="30" s="1"/>
  <c r="F116" i="45" s="1"/>
  <c r="G8" i="22"/>
  <c r="G20" i="22"/>
  <c r="G21" i="22" s="1"/>
  <c r="J19" i="22"/>
  <c r="J20" i="4"/>
  <c r="D28" i="4" s="1"/>
  <c r="G28" i="4" s="1"/>
  <c r="G33" i="4" s="1"/>
  <c r="B27" i="14" s="1"/>
  <c r="J18" i="4"/>
  <c r="C17" i="16"/>
  <c r="D33" i="16"/>
  <c r="W7" i="26"/>
  <c r="J6" i="15"/>
  <c r="J6" i="22"/>
  <c r="E5" i="14"/>
  <c r="J15" i="32"/>
  <c r="J14" i="32"/>
  <c r="J13" i="32"/>
  <c r="AK11" i="25"/>
  <c r="AU11" i="25" s="1"/>
  <c r="AC14" i="25"/>
  <c r="AC19" i="25"/>
  <c r="AC20" i="25"/>
  <c r="AC15" i="25"/>
  <c r="AC18" i="25"/>
  <c r="D20" i="26"/>
  <c r="N13" i="4"/>
  <c r="O13" i="4" s="1"/>
  <c r="B23" i="14"/>
  <c r="E23" i="14" s="1"/>
  <c r="G9" i="15"/>
  <c r="K8" i="15"/>
  <c r="I8" i="15"/>
  <c r="J8" i="15"/>
  <c r="N8" i="15"/>
  <c r="Q8" i="15" s="1"/>
  <c r="J14" i="31"/>
  <c r="J13" i="31"/>
  <c r="M13" i="26"/>
  <c r="B98" i="30"/>
  <c r="F6" i="27"/>
  <c r="D18" i="27"/>
  <c r="C82" i="26"/>
  <c r="O60" i="26"/>
  <c r="I60" i="26" s="1"/>
  <c r="C60" i="26" s="1"/>
  <c r="B109" i="30"/>
  <c r="B20" i="45" s="1"/>
  <c r="B31" i="45" s="1"/>
  <c r="B42" i="45" s="1"/>
  <c r="B53" i="45" s="1"/>
  <c r="B64" i="45" s="1"/>
  <c r="B75" i="45" s="1"/>
  <c r="B86" i="45" s="1"/>
  <c r="B97" i="45" s="1"/>
  <c r="B109" i="45" s="1"/>
  <c r="B121" i="45" s="1"/>
  <c r="B133" i="45" s="1"/>
  <c r="B145" i="45" s="1"/>
  <c r="B157" i="45" s="1"/>
  <c r="B169" i="45" s="1"/>
  <c r="B181" i="45" s="1"/>
  <c r="U11" i="26"/>
  <c r="B122" i="30" s="1"/>
  <c r="B134" i="30" s="1"/>
  <c r="B110" i="30"/>
  <c r="B21" i="45" s="1"/>
  <c r="B32" i="45" s="1"/>
  <c r="B43" i="45" s="1"/>
  <c r="B54" i="45" s="1"/>
  <c r="B65" i="45" s="1"/>
  <c r="B76" i="45" s="1"/>
  <c r="B87" i="45" s="1"/>
  <c r="B98" i="45" s="1"/>
  <c r="B110" i="45" s="1"/>
  <c r="B122" i="45" s="1"/>
  <c r="B134" i="45" s="1"/>
  <c r="B146" i="45" s="1"/>
  <c r="B158" i="45" s="1"/>
  <c r="B170" i="45" s="1"/>
  <c r="B182" i="45" s="1"/>
  <c r="U12" i="26"/>
  <c r="B123" i="30" s="1"/>
  <c r="B135" i="30" s="1"/>
  <c r="W12" i="26"/>
  <c r="K18" i="3"/>
  <c r="C11" i="14" s="1"/>
  <c r="L18" i="3"/>
  <c r="D11" i="14" s="1"/>
  <c r="O18" i="7"/>
  <c r="M18" i="3"/>
  <c r="O18" i="3"/>
  <c r="AA20" i="43" s="1"/>
  <c r="J60" i="26"/>
  <c r="P5" i="26"/>
  <c r="D47" i="22"/>
  <c r="C22" i="22"/>
  <c r="AH10" i="31"/>
  <c r="AQ10" i="31" s="1"/>
  <c r="Y14" i="31"/>
  <c r="Y15" i="31"/>
  <c r="T9" i="1"/>
  <c r="Q9" i="1"/>
  <c r="I9" i="43" s="1"/>
  <c r="U9" i="1"/>
  <c r="AI15" i="25"/>
  <c r="G51" i="30" s="1"/>
  <c r="G60" i="45" s="1"/>
  <c r="M13" i="4"/>
  <c r="G23" i="14" s="1"/>
  <c r="K8" i="7"/>
  <c r="U4" i="1"/>
  <c r="S4" i="1"/>
  <c r="H30" i="30"/>
  <c r="H43" i="45" s="1"/>
  <c r="G80" i="30"/>
  <c r="O65" i="26"/>
  <c r="I65" i="26" s="1"/>
  <c r="C65" i="26" s="1"/>
  <c r="C87" i="26"/>
  <c r="F15" i="30"/>
  <c r="D38" i="21" s="1"/>
  <c r="AR18" i="25"/>
  <c r="Y7" i="25"/>
  <c r="B93" i="30"/>
  <c r="M8" i="26"/>
  <c r="Q11" i="1"/>
  <c r="T11" i="1"/>
  <c r="U11" i="1"/>
  <c r="S11" i="1"/>
  <c r="G26" i="22"/>
  <c r="X11" i="26"/>
  <c r="U7" i="26"/>
  <c r="B118" i="30" s="1"/>
  <c r="B130" i="30" s="1"/>
  <c r="B105" i="30"/>
  <c r="B16" i="45" s="1"/>
  <c r="B27" i="45" s="1"/>
  <c r="B38" i="45" s="1"/>
  <c r="B49" i="45" s="1"/>
  <c r="B60" i="45" s="1"/>
  <c r="B71" i="45" s="1"/>
  <c r="B82" i="45" s="1"/>
  <c r="B93" i="45" s="1"/>
  <c r="B105" i="45" s="1"/>
  <c r="B117" i="45" s="1"/>
  <c r="B129" i="45" s="1"/>
  <c r="B141" i="45" s="1"/>
  <c r="B153" i="45" s="1"/>
  <c r="B165" i="45" s="1"/>
  <c r="B177" i="45" s="1"/>
  <c r="B103" i="30"/>
  <c r="B14" i="45" s="1"/>
  <c r="B25" i="45" s="1"/>
  <c r="B36" i="45" s="1"/>
  <c r="B47" i="45" s="1"/>
  <c r="B58" i="45" s="1"/>
  <c r="B69" i="45" s="1"/>
  <c r="B80" i="45" s="1"/>
  <c r="B91" i="45" s="1"/>
  <c r="B103" i="45" s="1"/>
  <c r="B115" i="45" s="1"/>
  <c r="B127" i="45" s="1"/>
  <c r="B139" i="45" s="1"/>
  <c r="B151" i="45" s="1"/>
  <c r="B163" i="45" s="1"/>
  <c r="B175" i="45" s="1"/>
  <c r="U5" i="26"/>
  <c r="B116" i="30" s="1"/>
  <c r="B128" i="30" s="1"/>
  <c r="P11" i="26"/>
  <c r="AR20" i="25"/>
  <c r="F69" i="30" s="1"/>
  <c r="F76" i="45" s="1"/>
  <c r="F17" i="30"/>
  <c r="D40" i="21" s="1"/>
  <c r="F163" i="30" s="1"/>
  <c r="F122" i="45" s="1"/>
  <c r="F43" i="15"/>
  <c r="Q10" i="26"/>
  <c r="Q13" i="26" s="1"/>
  <c r="Q29" i="3"/>
  <c r="W11" i="26"/>
  <c r="Q24" i="22"/>
  <c r="T4" i="1"/>
  <c r="AB16" i="32"/>
  <c r="I12" i="27"/>
  <c r="C12" i="21" s="1"/>
  <c r="K12" i="21" s="1"/>
  <c r="Z18" i="25"/>
  <c r="Z19" i="25"/>
  <c r="F42" i="30" s="1"/>
  <c r="F53" i="45" s="1"/>
  <c r="Z15" i="25"/>
  <c r="F38" i="30" s="1"/>
  <c r="F49" i="45" s="1"/>
  <c r="Z20" i="25"/>
  <c r="F43" i="30" s="1"/>
  <c r="F54" i="45" s="1"/>
  <c r="Z14" i="25"/>
  <c r="F37" i="30" s="1"/>
  <c r="F48" i="45" s="1"/>
  <c r="Z13" i="25"/>
  <c r="Q6" i="26"/>
  <c r="E82" i="26"/>
  <c r="B108" i="30"/>
  <c r="B19" i="45" s="1"/>
  <c r="B30" i="45" s="1"/>
  <c r="B41" i="45" s="1"/>
  <c r="B52" i="45" s="1"/>
  <c r="B63" i="45" s="1"/>
  <c r="B74" i="45" s="1"/>
  <c r="B85" i="45" s="1"/>
  <c r="B96" i="45" s="1"/>
  <c r="B108" i="45" s="1"/>
  <c r="B120" i="45" s="1"/>
  <c r="B132" i="45" s="1"/>
  <c r="B144" i="45" s="1"/>
  <c r="B156" i="45" s="1"/>
  <c r="B168" i="45" s="1"/>
  <c r="B180" i="45" s="1"/>
  <c r="U10" i="26"/>
  <c r="B121" i="30" s="1"/>
  <c r="B133" i="30" s="1"/>
  <c r="AI13" i="25"/>
  <c r="AI20" i="25"/>
  <c r="G56" i="30" s="1"/>
  <c r="G65" i="45" s="1"/>
  <c r="W6" i="26"/>
  <c r="F117" i="30" s="1"/>
  <c r="E34" i="21" s="1"/>
  <c r="F169" i="30" s="1"/>
  <c r="F128" i="45" s="1"/>
  <c r="J14" i="25"/>
  <c r="Y7" i="32"/>
  <c r="P10" i="32"/>
  <c r="N8" i="3"/>
  <c r="N18" i="3"/>
  <c r="Z20" i="43" s="1"/>
  <c r="N8" i="7"/>
  <c r="F77" i="30"/>
  <c r="D28" i="16"/>
  <c r="C12" i="16"/>
  <c r="E6" i="14"/>
  <c r="G5" i="27"/>
  <c r="O29" i="3" s="1"/>
  <c r="D37" i="27"/>
  <c r="B104" i="30"/>
  <c r="B15" i="45" s="1"/>
  <c r="B26" i="45" s="1"/>
  <c r="B37" i="45" s="1"/>
  <c r="B48" i="45" s="1"/>
  <c r="B59" i="45" s="1"/>
  <c r="B70" i="45" s="1"/>
  <c r="B81" i="45" s="1"/>
  <c r="B92" i="45" s="1"/>
  <c r="B104" i="45" s="1"/>
  <c r="B116" i="45" s="1"/>
  <c r="B128" i="45" s="1"/>
  <c r="B140" i="45" s="1"/>
  <c r="B152" i="45" s="1"/>
  <c r="B164" i="45" s="1"/>
  <c r="B176" i="45" s="1"/>
  <c r="U6" i="26"/>
  <c r="B117" i="30" s="1"/>
  <c r="B129" i="30" s="1"/>
  <c r="J8" i="7"/>
  <c r="AC13" i="25"/>
  <c r="AI18" i="25"/>
  <c r="M22" i="13"/>
  <c r="D28" i="13" s="1"/>
  <c r="M17" i="13"/>
  <c r="AC25" i="24" l="1"/>
  <c r="S25" i="24"/>
  <c r="P25" i="24"/>
  <c r="AS18" i="25"/>
  <c r="AS13" i="25"/>
  <c r="AS19" i="25"/>
  <c r="G68" i="30" s="1"/>
  <c r="G75" i="45" s="1"/>
  <c r="AS15" i="25"/>
  <c r="G64" i="30" s="1"/>
  <c r="G71" i="45" s="1"/>
  <c r="AS14" i="25"/>
  <c r="G63" i="30" s="1"/>
  <c r="G70" i="45" s="1"/>
  <c r="K6" i="22"/>
  <c r="AC18" i="32"/>
  <c r="AK18" i="32" s="1"/>
  <c r="I6" i="22"/>
  <c r="G207" i="30"/>
  <c r="G166" i="45" s="1"/>
  <c r="G163" i="45"/>
  <c r="D62" i="26"/>
  <c r="D64" i="26"/>
  <c r="H12" i="26" s="1"/>
  <c r="G97" i="30" s="1"/>
  <c r="G32" i="45" s="1"/>
  <c r="D63" i="26"/>
  <c r="H11" i="26" s="1"/>
  <c r="G96" i="30" s="1"/>
  <c r="G31" i="45" s="1"/>
  <c r="D57" i="26"/>
  <c r="D59" i="26"/>
  <c r="H7" i="26" s="1"/>
  <c r="G92" i="30" s="1"/>
  <c r="G27" i="45" s="1"/>
  <c r="D58" i="26"/>
  <c r="H6" i="26" s="1"/>
  <c r="G91" i="30" s="1"/>
  <c r="G26" i="45" s="1"/>
  <c r="R20" i="32"/>
  <c r="R18" i="32"/>
  <c r="R21" i="32" s="1"/>
  <c r="R13" i="32"/>
  <c r="R15" i="32"/>
  <c r="R19" i="32"/>
  <c r="R14" i="32"/>
  <c r="J37" i="15"/>
  <c r="M20" i="32"/>
  <c r="G195" i="30"/>
  <c r="G154" i="45" s="1"/>
  <c r="G151" i="45"/>
  <c r="J65" i="26"/>
  <c r="M8" i="7"/>
  <c r="P8" i="7" s="1"/>
  <c r="L8" i="3"/>
  <c r="O8" i="3"/>
  <c r="P8" i="3" s="1"/>
  <c r="G10" i="14" s="1"/>
  <c r="K8" i="3"/>
  <c r="C10" i="14" s="1"/>
  <c r="G147" i="30"/>
  <c r="G106" i="45" s="1"/>
  <c r="C39" i="21"/>
  <c r="F150" i="30" s="1"/>
  <c r="F109" i="45" s="1"/>
  <c r="C40" i="21"/>
  <c r="F151" i="30" s="1"/>
  <c r="F110" i="45" s="1"/>
  <c r="C35" i="21"/>
  <c r="F146" i="30" s="1"/>
  <c r="F105" i="45" s="1"/>
  <c r="C34" i="21"/>
  <c r="C49" i="21"/>
  <c r="G150" i="30"/>
  <c r="G109" i="45" s="1"/>
  <c r="G50" i="21"/>
  <c r="G210" i="30" s="1"/>
  <c r="G169" i="45" s="1"/>
  <c r="F50" i="21"/>
  <c r="G198" i="30" s="1"/>
  <c r="G157" i="45" s="1"/>
  <c r="C38" i="21"/>
  <c r="F149" i="30" s="1"/>
  <c r="F108" i="45" s="1"/>
  <c r="G47" i="21"/>
  <c r="F47" i="21"/>
  <c r="G151" i="30"/>
  <c r="G110" i="45" s="1"/>
  <c r="F51" i="21"/>
  <c r="G199" i="30" s="1"/>
  <c r="G158" i="45" s="1"/>
  <c r="G51" i="21"/>
  <c r="G211" i="30" s="1"/>
  <c r="G170" i="45" s="1"/>
  <c r="AS21" i="32"/>
  <c r="AS20" i="25"/>
  <c r="G69" i="30" s="1"/>
  <c r="G76" i="45" s="1"/>
  <c r="R16" i="25"/>
  <c r="G26" i="30" s="1"/>
  <c r="G39" i="45" s="1"/>
  <c r="R21" i="25"/>
  <c r="G31" i="30" s="1"/>
  <c r="G44" i="45" s="1"/>
  <c r="G189" i="45" s="1"/>
  <c r="M18" i="25"/>
  <c r="Y12" i="43" s="1"/>
  <c r="E10" i="16"/>
  <c r="E11" i="16" s="1"/>
  <c r="E12" i="16" s="1"/>
  <c r="E13" i="16" s="1"/>
  <c r="F14" i="5"/>
  <c r="I6" i="16"/>
  <c r="N6" i="16"/>
  <c r="F23" i="16" s="1"/>
  <c r="J6" i="16"/>
  <c r="V25" i="24"/>
  <c r="Z16" i="32"/>
  <c r="AF25" i="24"/>
  <c r="G236" i="30"/>
  <c r="P37" i="3"/>
  <c r="G249" i="30" s="1"/>
  <c r="F28" i="3"/>
  <c r="F32" i="7"/>
  <c r="G25" i="15"/>
  <c r="G26" i="15" s="1"/>
  <c r="G28" i="15" s="1"/>
  <c r="G29" i="15" s="1"/>
  <c r="G30" i="15" s="1"/>
  <c r="I30" i="15" s="1"/>
  <c r="N24" i="15"/>
  <c r="Q24" i="15" s="1"/>
  <c r="E21" i="14"/>
  <c r="U25" i="18"/>
  <c r="B19" i="14" s="1"/>
  <c r="J24" i="15"/>
  <c r="L24" i="15" s="1"/>
  <c r="P24" i="15" s="1"/>
  <c r="S46" i="7"/>
  <c r="J262" i="30" s="1"/>
  <c r="J259" i="30"/>
  <c r="H13" i="5"/>
  <c r="I13" i="5" s="1"/>
  <c r="G7" i="16"/>
  <c r="K37" i="15"/>
  <c r="M14" i="31"/>
  <c r="Z25" i="24"/>
  <c r="K24" i="7"/>
  <c r="N21" i="22"/>
  <c r="F47" i="22" s="1"/>
  <c r="N15" i="16"/>
  <c r="F32" i="16" s="1"/>
  <c r="K21" i="31"/>
  <c r="Z21" i="32"/>
  <c r="Q21" i="32"/>
  <c r="AI21" i="32"/>
  <c r="AI16" i="32"/>
  <c r="P43" i="7"/>
  <c r="AC19" i="32"/>
  <c r="AK19" i="32" s="1"/>
  <c r="AU19" i="32" s="1"/>
  <c r="AC15" i="32"/>
  <c r="AK15" i="32" s="1"/>
  <c r="AU15" i="32" s="1"/>
  <c r="AC13" i="32"/>
  <c r="Q20" i="25"/>
  <c r="F30" i="30" s="1"/>
  <c r="F43" i="45" s="1"/>
  <c r="Q18" i="25"/>
  <c r="Q19" i="25"/>
  <c r="F29" i="30" s="1"/>
  <c r="F42" i="45" s="1"/>
  <c r="J21" i="32"/>
  <c r="M21" i="32" s="1"/>
  <c r="P19" i="32"/>
  <c r="P18" i="32"/>
  <c r="P20" i="32"/>
  <c r="AC21" i="25"/>
  <c r="N32" i="4"/>
  <c r="N36" i="4" s="1"/>
  <c r="B42" i="14" s="1"/>
  <c r="N34" i="4"/>
  <c r="N38" i="4" s="1"/>
  <c r="B44" i="14" s="1"/>
  <c r="L11" i="21"/>
  <c r="L134" i="30" s="1"/>
  <c r="L6" i="22"/>
  <c r="E43" i="22" s="1"/>
  <c r="O22" i="4"/>
  <c r="L6" i="15"/>
  <c r="E43" i="15" s="1"/>
  <c r="J24" i="7"/>
  <c r="J27" i="7" s="1"/>
  <c r="B12" i="14" s="1"/>
  <c r="E134" i="30"/>
  <c r="E130" i="30"/>
  <c r="U15" i="31"/>
  <c r="M15" i="31"/>
  <c r="F13" i="26"/>
  <c r="M14" i="32"/>
  <c r="N13" i="26"/>
  <c r="N35" i="22"/>
  <c r="F50" i="22" s="1"/>
  <c r="G13" i="26"/>
  <c r="N19" i="22"/>
  <c r="Q19" i="22" s="1"/>
  <c r="H45" i="22" s="1"/>
  <c r="E108" i="30"/>
  <c r="E19" i="45" s="1"/>
  <c r="M21" i="25"/>
  <c r="D9" i="21" s="1"/>
  <c r="E95" i="30"/>
  <c r="E30" i="45" s="1"/>
  <c r="O13" i="26"/>
  <c r="H91" i="30"/>
  <c r="H26" i="45" s="1"/>
  <c r="Q30" i="3"/>
  <c r="AU18" i="32"/>
  <c r="H234" i="30"/>
  <c r="C28" i="21"/>
  <c r="E248" i="30"/>
  <c r="E241" i="30"/>
  <c r="H241" i="30"/>
  <c r="R38" i="7"/>
  <c r="F67" i="30"/>
  <c r="F74" i="45" s="1"/>
  <c r="AR21" i="25"/>
  <c r="Q34" i="3"/>
  <c r="I13" i="26"/>
  <c r="L3" i="43"/>
  <c r="T3" i="43"/>
  <c r="M3" i="43"/>
  <c r="N3" i="43"/>
  <c r="I4" i="43"/>
  <c r="O37" i="3"/>
  <c r="F249" i="30" s="1"/>
  <c r="F236" i="30"/>
  <c r="E260" i="30"/>
  <c r="AI21" i="25"/>
  <c r="F161" i="30"/>
  <c r="F120" i="45" s="1"/>
  <c r="M8" i="21"/>
  <c r="M130" i="30" s="1"/>
  <c r="N35" i="15"/>
  <c r="F50" i="15" s="1"/>
  <c r="F28" i="30"/>
  <c r="F41" i="45" s="1"/>
  <c r="BE21" i="25"/>
  <c r="H83" i="30" s="1"/>
  <c r="Q16" i="32"/>
  <c r="E32" i="7"/>
  <c r="F95" i="30"/>
  <c r="F30" i="45" s="1"/>
  <c r="E243" i="30"/>
  <c r="S31" i="3"/>
  <c r="J243" i="30" s="1"/>
  <c r="F259" i="30"/>
  <c r="O46" i="7"/>
  <c r="F262" i="30" s="1"/>
  <c r="G108" i="30"/>
  <c r="G19" i="45" s="1"/>
  <c r="P13" i="26"/>
  <c r="E261" i="30"/>
  <c r="H233" i="30"/>
  <c r="C27" i="21"/>
  <c r="C22" i="21"/>
  <c r="O38" i="7"/>
  <c r="T38" i="7" s="1"/>
  <c r="K254" i="30" s="1"/>
  <c r="F228" i="30"/>
  <c r="F241" i="30"/>
  <c r="H96" i="30"/>
  <c r="H31" i="45" s="1"/>
  <c r="Q35" i="3"/>
  <c r="S35" i="3" s="1"/>
  <c r="J247" i="30" s="1"/>
  <c r="E173" i="30"/>
  <c r="E132" i="45" s="1"/>
  <c r="N37" i="3"/>
  <c r="E236" i="30"/>
  <c r="D28" i="3"/>
  <c r="I13" i="27"/>
  <c r="F14" i="27" s="1"/>
  <c r="C13" i="21" s="1"/>
  <c r="D32" i="7"/>
  <c r="BB16" i="25"/>
  <c r="F78" i="30" s="1"/>
  <c r="H230" i="30"/>
  <c r="C24" i="21"/>
  <c r="AR21" i="32"/>
  <c r="E246" i="30"/>
  <c r="E254" i="30"/>
  <c r="Z21" i="25"/>
  <c r="L8" i="21"/>
  <c r="P24" i="21" s="1"/>
  <c r="D16" i="14" s="1"/>
  <c r="M9" i="43"/>
  <c r="T9" i="43"/>
  <c r="AF9" i="43" s="1"/>
  <c r="L9" i="43"/>
  <c r="N9" i="43"/>
  <c r="F8" i="27"/>
  <c r="N39" i="7"/>
  <c r="N41" i="7" s="1"/>
  <c r="N30" i="3"/>
  <c r="E229" i="30"/>
  <c r="G41" i="30"/>
  <c r="G52" i="45" s="1"/>
  <c r="AB21" i="25"/>
  <c r="G44" i="30" s="1"/>
  <c r="G55" i="45" s="1"/>
  <c r="G190" i="45" s="1"/>
  <c r="H97" i="30"/>
  <c r="H32" i="45" s="1"/>
  <c r="Q36" i="3"/>
  <c r="S36" i="3" s="1"/>
  <c r="J248" i="30" s="1"/>
  <c r="F108" i="30"/>
  <c r="F19" i="45" s="1"/>
  <c r="E175" i="30"/>
  <c r="E134" i="45" s="1"/>
  <c r="D87" i="26"/>
  <c r="G121" i="30"/>
  <c r="X13" i="26"/>
  <c r="V13" i="26"/>
  <c r="E256" i="30"/>
  <c r="E247" i="30"/>
  <c r="H235" i="30"/>
  <c r="C29" i="21"/>
  <c r="F121" i="30"/>
  <c r="E38" i="21" s="1"/>
  <c r="F173" i="30" s="1"/>
  <c r="F132" i="45" s="1"/>
  <c r="W13" i="26"/>
  <c r="E259" i="30"/>
  <c r="N46" i="7"/>
  <c r="R40" i="7"/>
  <c r="I256" i="30" s="1"/>
  <c r="H243" i="30"/>
  <c r="M11" i="21"/>
  <c r="M134" i="30" s="1"/>
  <c r="L10" i="21"/>
  <c r="L133" i="30" s="1"/>
  <c r="K10" i="21"/>
  <c r="K133" i="30" s="1"/>
  <c r="O27" i="7"/>
  <c r="K18" i="7"/>
  <c r="V25" i="43" s="1"/>
  <c r="L18" i="7"/>
  <c r="U25" i="43" s="1"/>
  <c r="P24" i="7"/>
  <c r="J18" i="7"/>
  <c r="W25" i="43" s="1"/>
  <c r="D10" i="14"/>
  <c r="U20" i="43"/>
  <c r="Y20" i="43"/>
  <c r="P18" i="3"/>
  <c r="G11" i="14" s="1"/>
  <c r="AA25" i="43"/>
  <c r="Q16" i="31"/>
  <c r="U14" i="31"/>
  <c r="J21" i="31"/>
  <c r="M21" i="31" s="1"/>
  <c r="M19" i="31"/>
  <c r="AC18" i="31"/>
  <c r="AC20" i="31"/>
  <c r="AK20" i="31" s="1"/>
  <c r="AU20" i="31" s="1"/>
  <c r="AC19" i="31"/>
  <c r="AK19" i="31" s="1"/>
  <c r="AU19" i="31" s="1"/>
  <c r="Y21" i="31"/>
  <c r="AH18" i="31"/>
  <c r="Q21" i="31"/>
  <c r="AB21" i="31"/>
  <c r="R21" i="31"/>
  <c r="P21" i="31"/>
  <c r="L24" i="7"/>
  <c r="L27" i="7" s="1"/>
  <c r="D12" i="14" s="1"/>
  <c r="I5" i="21"/>
  <c r="M15" i="32"/>
  <c r="AB16" i="31"/>
  <c r="D82" i="26"/>
  <c r="BE16" i="25"/>
  <c r="H78" i="30" s="1"/>
  <c r="R16" i="31"/>
  <c r="P16" i="31"/>
  <c r="L19" i="22"/>
  <c r="L24" i="22"/>
  <c r="AR13" i="25"/>
  <c r="F62" i="30" s="1"/>
  <c r="F69" i="45" s="1"/>
  <c r="F10" i="30"/>
  <c r="D33" i="21" s="1"/>
  <c r="G116" i="30"/>
  <c r="X8" i="26"/>
  <c r="G119" i="30" s="1"/>
  <c r="N37" i="22"/>
  <c r="Q37" i="22" s="1"/>
  <c r="H52" i="22" s="1"/>
  <c r="K27" i="7"/>
  <c r="C12" i="14" s="1"/>
  <c r="E28" i="3"/>
  <c r="M27" i="7"/>
  <c r="N18" i="7"/>
  <c r="Z25" i="43" s="1"/>
  <c r="N37" i="15"/>
  <c r="F52" i="15" s="1"/>
  <c r="S10" i="26"/>
  <c r="N21" i="15"/>
  <c r="Q21" i="15" s="1"/>
  <c r="H47" i="15" s="1"/>
  <c r="E133" i="30"/>
  <c r="M10" i="21"/>
  <c r="M133" i="30" s="1"/>
  <c r="AB16" i="25"/>
  <c r="G39" i="30" s="1"/>
  <c r="G50" i="45" s="1"/>
  <c r="U13" i="31"/>
  <c r="E24" i="14"/>
  <c r="D27" i="4"/>
  <c r="I35" i="15"/>
  <c r="L35" i="15" s="1"/>
  <c r="I19" i="15"/>
  <c r="L19" i="15" s="1"/>
  <c r="E26" i="14"/>
  <c r="I35" i="22"/>
  <c r="L35" i="22" s="1"/>
  <c r="E50" i="22" s="1"/>
  <c r="M18" i="4"/>
  <c r="M32" i="4" s="1"/>
  <c r="M20" i="4"/>
  <c r="M33" i="4" s="1"/>
  <c r="D48" i="15"/>
  <c r="C35" i="15"/>
  <c r="AK11" i="31"/>
  <c r="AU11" i="31" s="1"/>
  <c r="AC15" i="31"/>
  <c r="AK15" i="31" s="1"/>
  <c r="AU15" i="31" s="1"/>
  <c r="AC14" i="31"/>
  <c r="AK14" i="31" s="1"/>
  <c r="AU14" i="31" s="1"/>
  <c r="AC13" i="31"/>
  <c r="F12" i="30"/>
  <c r="D35" i="21" s="1"/>
  <c r="F158" i="30" s="1"/>
  <c r="F117" i="45" s="1"/>
  <c r="AR15" i="25"/>
  <c r="F64" i="30" s="1"/>
  <c r="F71" i="45" s="1"/>
  <c r="K16" i="25"/>
  <c r="I15" i="16"/>
  <c r="J15" i="16"/>
  <c r="K15" i="16"/>
  <c r="G16" i="16"/>
  <c r="AR13" i="32"/>
  <c r="K16" i="32"/>
  <c r="AR16" i="32" s="1"/>
  <c r="E19" i="14"/>
  <c r="G9" i="22"/>
  <c r="G10" i="22" s="1"/>
  <c r="G12" i="22" s="1"/>
  <c r="J8" i="22"/>
  <c r="I8" i="22"/>
  <c r="N8" i="22"/>
  <c r="Q8" i="22" s="1"/>
  <c r="H80" i="30"/>
  <c r="F85" i="26"/>
  <c r="Y11" i="26" s="1"/>
  <c r="H122" i="30" s="1"/>
  <c r="F86" i="26"/>
  <c r="Y12" i="26" s="1"/>
  <c r="H123" i="30" s="1"/>
  <c r="E51" i="21" s="1"/>
  <c r="F84" i="26"/>
  <c r="C18" i="16"/>
  <c r="D35" i="16" s="1"/>
  <c r="D34" i="16"/>
  <c r="G29" i="14"/>
  <c r="M38" i="4"/>
  <c r="C44" i="14" s="1"/>
  <c r="I37" i="15"/>
  <c r="L37" i="15" s="1"/>
  <c r="E28" i="14"/>
  <c r="I21" i="15"/>
  <c r="L21" i="15" s="1"/>
  <c r="I37" i="22"/>
  <c r="L37" i="22" s="1"/>
  <c r="G77" i="30"/>
  <c r="BC16" i="25"/>
  <c r="G78" i="30" s="1"/>
  <c r="E20" i="14"/>
  <c r="I28" i="4"/>
  <c r="I33" i="4" s="1"/>
  <c r="D27" i="14" s="1"/>
  <c r="E28" i="4"/>
  <c r="F28" i="4"/>
  <c r="H28" i="4"/>
  <c r="H33" i="4" s="1"/>
  <c r="C27" i="14" s="1"/>
  <c r="AR15" i="31"/>
  <c r="K16" i="31"/>
  <c r="AR16" i="31" s="1"/>
  <c r="I12" i="18"/>
  <c r="R11" i="18"/>
  <c r="E31" i="18" s="1"/>
  <c r="N27" i="7"/>
  <c r="F81" i="26"/>
  <c r="Y7" i="26" s="1"/>
  <c r="H118" i="30" s="1"/>
  <c r="E46" i="21" s="1"/>
  <c r="F80" i="26"/>
  <c r="Y6" i="26" s="1"/>
  <c r="H117" i="30" s="1"/>
  <c r="E45" i="21" s="1"/>
  <c r="L8" i="15"/>
  <c r="P8" i="15" s="1"/>
  <c r="G22" i="22"/>
  <c r="I22" i="22" s="1"/>
  <c r="I21" i="22"/>
  <c r="J21" i="22"/>
  <c r="I29" i="4"/>
  <c r="I34" i="4" s="1"/>
  <c r="D29" i="14" s="1"/>
  <c r="E29" i="4"/>
  <c r="F29" i="4"/>
  <c r="H29" i="4"/>
  <c r="H34" i="4" s="1"/>
  <c r="C29" i="14" s="1"/>
  <c r="AS16" i="32"/>
  <c r="K21" i="22"/>
  <c r="Q15" i="25"/>
  <c r="F25" i="30" s="1"/>
  <c r="F38" i="45" s="1"/>
  <c r="Q13" i="25"/>
  <c r="O25" i="7"/>
  <c r="O28" i="7" s="1"/>
  <c r="N25" i="7"/>
  <c r="L25" i="7"/>
  <c r="K25" i="7"/>
  <c r="M25" i="7"/>
  <c r="J25" i="7"/>
  <c r="K28" i="15"/>
  <c r="K12" i="22"/>
  <c r="K8" i="22"/>
  <c r="J15" i="25"/>
  <c r="M15" i="25" s="1"/>
  <c r="D8" i="21" s="1"/>
  <c r="F130" i="30" s="1"/>
  <c r="E15" i="30"/>
  <c r="E10" i="30"/>
  <c r="D22" i="21" s="1"/>
  <c r="BA10" i="25"/>
  <c r="BA18" i="25" s="1"/>
  <c r="D27" i="13"/>
  <c r="F104" i="30"/>
  <c r="F15" i="45" s="1"/>
  <c r="O8" i="26"/>
  <c r="F106" i="30" s="1"/>
  <c r="F17" i="45" s="1"/>
  <c r="F96" i="30"/>
  <c r="F31" i="45" s="1"/>
  <c r="C13" i="16"/>
  <c r="D30" i="16" s="1"/>
  <c r="D29" i="16"/>
  <c r="P15" i="32"/>
  <c r="U15" i="32" s="1"/>
  <c r="P14" i="32"/>
  <c r="U14" i="32" s="1"/>
  <c r="P13" i="32"/>
  <c r="G32" i="15"/>
  <c r="J30" i="15"/>
  <c r="M20" i="25"/>
  <c r="E17" i="30"/>
  <c r="AS16" i="25"/>
  <c r="G65" i="30" s="1"/>
  <c r="G72" i="45" s="1"/>
  <c r="G62" i="30"/>
  <c r="G69" i="45" s="1"/>
  <c r="E122" i="30"/>
  <c r="E28" i="21" s="1"/>
  <c r="F109" i="30"/>
  <c r="F20" i="45" s="1"/>
  <c r="B106" i="30"/>
  <c r="B17" i="45" s="1"/>
  <c r="B28" i="45" s="1"/>
  <c r="B39" i="45" s="1"/>
  <c r="B50" i="45" s="1"/>
  <c r="B61" i="45" s="1"/>
  <c r="B72" i="45" s="1"/>
  <c r="B83" i="45" s="1"/>
  <c r="B94" i="45" s="1"/>
  <c r="B106" i="45" s="1"/>
  <c r="B118" i="45" s="1"/>
  <c r="B130" i="45" s="1"/>
  <c r="B142" i="45" s="1"/>
  <c r="B154" i="45" s="1"/>
  <c r="B166" i="45" s="1"/>
  <c r="B178" i="45" s="1"/>
  <c r="U8" i="26"/>
  <c r="B119" i="30" s="1"/>
  <c r="B131" i="30" s="1"/>
  <c r="F18" i="30"/>
  <c r="D41" i="21" s="1"/>
  <c r="G83" i="30"/>
  <c r="H31" i="30"/>
  <c r="H44" i="45" s="1"/>
  <c r="H189" i="45" s="1"/>
  <c r="Q21" i="22"/>
  <c r="H47" i="22" s="1"/>
  <c r="P23" i="21"/>
  <c r="K130" i="30"/>
  <c r="Y16" i="31"/>
  <c r="AH13" i="31"/>
  <c r="AH14" i="31"/>
  <c r="K6" i="26"/>
  <c r="E91" i="30"/>
  <c r="E26" i="45" s="1"/>
  <c r="V8" i="26"/>
  <c r="AA5" i="26"/>
  <c r="E6" i="21" s="1"/>
  <c r="E116" i="30"/>
  <c r="E22" i="21" s="1"/>
  <c r="H43" i="30"/>
  <c r="H54" i="45" s="1"/>
  <c r="L54" i="45" s="1"/>
  <c r="N54" i="45" s="1"/>
  <c r="AK20" i="25"/>
  <c r="S7" i="26"/>
  <c r="F105" i="30"/>
  <c r="F16" i="45" s="1"/>
  <c r="W8" i="26"/>
  <c r="F119" i="30" s="1"/>
  <c r="E36" i="21" s="1"/>
  <c r="G34" i="14"/>
  <c r="AC16" i="25"/>
  <c r="AK13" i="25"/>
  <c r="H36" i="30"/>
  <c r="H47" i="45" s="1"/>
  <c r="L47" i="45" s="1"/>
  <c r="N47" i="45" s="1"/>
  <c r="H104" i="30"/>
  <c r="H15" i="45" s="1"/>
  <c r="Q8" i="26"/>
  <c r="H106" i="30" s="1"/>
  <c r="H17" i="45" s="1"/>
  <c r="E109" i="30"/>
  <c r="E20" i="45" s="1"/>
  <c r="S11" i="26"/>
  <c r="AH15" i="31"/>
  <c r="E104" i="30"/>
  <c r="E15" i="45" s="1"/>
  <c r="S6" i="26"/>
  <c r="I6" i="27"/>
  <c r="C7" i="21" s="1"/>
  <c r="H95" i="30"/>
  <c r="H30" i="45" s="1"/>
  <c r="E103" i="30"/>
  <c r="E14" i="45" s="1"/>
  <c r="S5" i="26"/>
  <c r="N8" i="26"/>
  <c r="AK15" i="25"/>
  <c r="H38" i="30"/>
  <c r="H49" i="45" s="1"/>
  <c r="L49" i="45" s="1"/>
  <c r="N49" i="45" s="1"/>
  <c r="G8" i="27"/>
  <c r="I5" i="27"/>
  <c r="C6" i="21" s="1"/>
  <c r="K6" i="21" s="1"/>
  <c r="M14" i="25"/>
  <c r="D7" i="21" s="1"/>
  <c r="F129" i="30" s="1"/>
  <c r="E11" i="30"/>
  <c r="K11" i="26"/>
  <c r="E96" i="30"/>
  <c r="E31" i="45" s="1"/>
  <c r="F41" i="30"/>
  <c r="F52" i="45" s="1"/>
  <c r="F122" i="30"/>
  <c r="E39" i="21" s="1"/>
  <c r="H108" i="30"/>
  <c r="H19" i="45" s="1"/>
  <c r="I38" i="22"/>
  <c r="I22" i="15"/>
  <c r="Y10" i="25"/>
  <c r="AH7" i="25"/>
  <c r="AQ7" i="25" s="1"/>
  <c r="F97" i="30"/>
  <c r="F32" i="45" s="1"/>
  <c r="K12" i="26"/>
  <c r="J16" i="31"/>
  <c r="M13" i="31"/>
  <c r="H41" i="30"/>
  <c r="H52" i="45" s="1"/>
  <c r="L52" i="45" s="1"/>
  <c r="N52" i="45" s="1"/>
  <c r="AK18" i="25"/>
  <c r="H37" i="30"/>
  <c r="H48" i="45" s="1"/>
  <c r="L48" i="45" s="1"/>
  <c r="N48" i="45" s="1"/>
  <c r="AK14" i="25"/>
  <c r="F118" i="30"/>
  <c r="E35" i="21" s="1"/>
  <c r="G8" i="26"/>
  <c r="F93" i="30" s="1"/>
  <c r="F28" i="45" s="1"/>
  <c r="F28" i="13"/>
  <c r="H28" i="13"/>
  <c r="H31" i="13" s="1"/>
  <c r="I28" i="13"/>
  <c r="I31" i="13" s="1"/>
  <c r="E28" i="13"/>
  <c r="J28" i="13"/>
  <c r="L28" i="13"/>
  <c r="L31" i="13" s="1"/>
  <c r="K28" i="13"/>
  <c r="K31" i="13" s="1"/>
  <c r="G28" i="13"/>
  <c r="AI16" i="25"/>
  <c r="G52" i="30" s="1"/>
  <c r="G61" i="45" s="1"/>
  <c r="G49" i="30"/>
  <c r="G58" i="45" s="1"/>
  <c r="L12" i="21"/>
  <c r="L135" i="30" s="1"/>
  <c r="E135" i="30"/>
  <c r="K135" i="30"/>
  <c r="M12" i="21"/>
  <c r="M135" i="30" s="1"/>
  <c r="B10" i="14"/>
  <c r="G28" i="22"/>
  <c r="P15" i="25"/>
  <c r="P18" i="25"/>
  <c r="P20" i="25"/>
  <c r="E29" i="30"/>
  <c r="E42" i="45" s="1"/>
  <c r="P13" i="25"/>
  <c r="P14" i="25"/>
  <c r="D48" i="22"/>
  <c r="C35" i="22"/>
  <c r="B11" i="14"/>
  <c r="Q18" i="3"/>
  <c r="S12" i="26"/>
  <c r="F110" i="30"/>
  <c r="F21" i="45" s="1"/>
  <c r="G54" i="30"/>
  <c r="G63" i="45" s="1"/>
  <c r="R8" i="7"/>
  <c r="I25" i="43" s="1"/>
  <c r="H14" i="7"/>
  <c r="H15" i="7" s="1"/>
  <c r="Q8" i="7"/>
  <c r="AH7" i="32"/>
  <c r="AQ7" i="32" s="1"/>
  <c r="Y10" i="32"/>
  <c r="M19" i="25"/>
  <c r="E16" i="30"/>
  <c r="G67" i="30"/>
  <c r="G74" i="45" s="1"/>
  <c r="F36" i="30"/>
  <c r="F47" i="45" s="1"/>
  <c r="Z16" i="25"/>
  <c r="F39" i="30" s="1"/>
  <c r="F50" i="45" s="1"/>
  <c r="I8" i="26"/>
  <c r="H90" i="30"/>
  <c r="H25" i="45" s="1"/>
  <c r="I36" i="22"/>
  <c r="I20" i="15"/>
  <c r="I20" i="22"/>
  <c r="I36" i="15"/>
  <c r="G109" i="30"/>
  <c r="G20" i="45" s="1"/>
  <c r="G122" i="30"/>
  <c r="P8" i="26"/>
  <c r="G106" i="30" s="1"/>
  <c r="G17" i="45" s="1"/>
  <c r="G103" i="30"/>
  <c r="G14" i="45" s="1"/>
  <c r="H116" i="30"/>
  <c r="F123" i="30"/>
  <c r="E40" i="21" s="1"/>
  <c r="F45" i="15"/>
  <c r="Q19" i="15"/>
  <c r="H45" i="15" s="1"/>
  <c r="E117" i="30"/>
  <c r="E23" i="21" s="1"/>
  <c r="B111" i="30"/>
  <c r="B22" i="45" s="1"/>
  <c r="U13" i="26"/>
  <c r="B124" i="30" s="1"/>
  <c r="B136" i="30" s="1"/>
  <c r="G10" i="15"/>
  <c r="E90" i="30"/>
  <c r="E25" i="45" s="1"/>
  <c r="F8" i="26"/>
  <c r="AK19" i="25"/>
  <c r="H42" i="30"/>
  <c r="H53" i="45" s="1"/>
  <c r="L53" i="45" s="1"/>
  <c r="N53" i="45" s="1"/>
  <c r="J16" i="32"/>
  <c r="M13" i="32"/>
  <c r="F92" i="30"/>
  <c r="F27" i="45" s="1"/>
  <c r="K7" i="26"/>
  <c r="I38" i="15"/>
  <c r="L7" i="21" l="1"/>
  <c r="K7" i="21"/>
  <c r="M7" i="21"/>
  <c r="R16" i="32"/>
  <c r="H10" i="26"/>
  <c r="D65" i="26"/>
  <c r="H5" i="26"/>
  <c r="D60" i="26"/>
  <c r="Q8" i="3"/>
  <c r="R8" i="3" s="1"/>
  <c r="I20" i="43" s="1"/>
  <c r="M20" i="43" s="1"/>
  <c r="V20" i="43"/>
  <c r="F187" i="30"/>
  <c r="F146" i="45" s="1"/>
  <c r="F145" i="30"/>
  <c r="F104" i="45" s="1"/>
  <c r="H51" i="21"/>
  <c r="G223" i="30" s="1"/>
  <c r="H45" i="21"/>
  <c r="G217" i="30" s="1"/>
  <c r="C33" i="21"/>
  <c r="F144" i="30" s="1"/>
  <c r="F181" i="30"/>
  <c r="F140" i="45" s="1"/>
  <c r="H46" i="21"/>
  <c r="G218" i="30" s="1"/>
  <c r="G28" i="21"/>
  <c r="E210" i="30" s="1"/>
  <c r="F28" i="21"/>
  <c r="E198" i="30" s="1"/>
  <c r="H38" i="21"/>
  <c r="F221" i="30" s="1"/>
  <c r="G38" i="21"/>
  <c r="F209" i="30" s="1"/>
  <c r="F168" i="45" s="1"/>
  <c r="F38" i="21"/>
  <c r="F197" i="30" s="1"/>
  <c r="H34" i="21"/>
  <c r="F217" i="30" s="1"/>
  <c r="F176" i="45" s="1"/>
  <c r="G34" i="21"/>
  <c r="F205" i="30" s="1"/>
  <c r="F164" i="45" s="1"/>
  <c r="F34" i="21"/>
  <c r="F193" i="30" s="1"/>
  <c r="F152" i="45" s="1"/>
  <c r="G40" i="21"/>
  <c r="F211" i="30" s="1"/>
  <c r="F170" i="45" s="1"/>
  <c r="F40" i="21"/>
  <c r="F199" i="30" s="1"/>
  <c r="F158" i="45" s="1"/>
  <c r="H40" i="21"/>
  <c r="F223" i="30" s="1"/>
  <c r="F182" i="45" s="1"/>
  <c r="F24" i="21"/>
  <c r="E194" i="30" s="1"/>
  <c r="G24" i="21"/>
  <c r="E206" i="30" s="1"/>
  <c r="G22" i="21"/>
  <c r="E204" i="30" s="1"/>
  <c r="F22" i="21"/>
  <c r="E192" i="30" s="1"/>
  <c r="H22" i="21"/>
  <c r="E216" i="30" s="1"/>
  <c r="E175" i="45" s="1"/>
  <c r="C41" i="21"/>
  <c r="G187" i="30"/>
  <c r="G146" i="45" s="1"/>
  <c r="F29" i="21"/>
  <c r="E199" i="30" s="1"/>
  <c r="G29" i="21"/>
  <c r="E211" i="30" s="1"/>
  <c r="F27" i="21"/>
  <c r="E197" i="30" s="1"/>
  <c r="G27" i="21"/>
  <c r="E209" i="30" s="1"/>
  <c r="C52" i="21"/>
  <c r="G149" i="30"/>
  <c r="G49" i="21"/>
  <c r="G209" i="30" s="1"/>
  <c r="F49" i="21"/>
  <c r="G197" i="30" s="1"/>
  <c r="F35" i="21"/>
  <c r="F194" i="30" s="1"/>
  <c r="F153" i="45" s="1"/>
  <c r="H35" i="21"/>
  <c r="F218" i="30" s="1"/>
  <c r="G35" i="21"/>
  <c r="F206" i="30" s="1"/>
  <c r="F165" i="45" s="1"/>
  <c r="F39" i="21"/>
  <c r="F198" i="30" s="1"/>
  <c r="F157" i="45" s="1"/>
  <c r="H39" i="21"/>
  <c r="F222" i="30" s="1"/>
  <c r="F181" i="45" s="1"/>
  <c r="G39" i="21"/>
  <c r="F210" i="30" s="1"/>
  <c r="F169" i="45" s="1"/>
  <c r="AS21" i="25"/>
  <c r="G70" i="30" s="1"/>
  <c r="G77" i="45" s="1"/>
  <c r="G192" i="45" s="1"/>
  <c r="BA20" i="25"/>
  <c r="BA14" i="25"/>
  <c r="C184" i="45"/>
  <c r="B33" i="45"/>
  <c r="B44" i="45" s="1"/>
  <c r="B55" i="45" s="1"/>
  <c r="B66" i="45" s="1"/>
  <c r="B77" i="45" s="1"/>
  <c r="B88" i="45" s="1"/>
  <c r="B99" i="45" s="1"/>
  <c r="B111" i="45" s="1"/>
  <c r="B123" i="45" s="1"/>
  <c r="B135" i="45" s="1"/>
  <c r="B147" i="45" s="1"/>
  <c r="B159" i="45" s="1"/>
  <c r="B171" i="45" s="1"/>
  <c r="B183" i="45" s="1"/>
  <c r="AC16" i="32"/>
  <c r="AK16" i="32" s="1"/>
  <c r="AU16" i="32" s="1"/>
  <c r="AK13" i="32"/>
  <c r="AU13" i="32" s="1"/>
  <c r="U19" i="25"/>
  <c r="Q21" i="25"/>
  <c r="K7" i="16"/>
  <c r="N7" i="16"/>
  <c r="J7" i="16"/>
  <c r="I7" i="16"/>
  <c r="J28" i="15"/>
  <c r="J29" i="15"/>
  <c r="K30" i="15"/>
  <c r="Q15" i="16"/>
  <c r="H32" i="16" s="1"/>
  <c r="K29" i="15"/>
  <c r="L29" i="15" s="1"/>
  <c r="P29" i="15" s="1"/>
  <c r="I28" i="15"/>
  <c r="AK21" i="32"/>
  <c r="AC21" i="32"/>
  <c r="G259" i="30"/>
  <c r="P46" i="7"/>
  <c r="G262" i="30" s="1"/>
  <c r="L6" i="16"/>
  <c r="E23" i="16" s="1"/>
  <c r="G10" i="16"/>
  <c r="G11" i="16" s="1"/>
  <c r="H14" i="5"/>
  <c r="I29" i="15"/>
  <c r="J29" i="30"/>
  <c r="J42" i="45" s="1"/>
  <c r="P21" i="32"/>
  <c r="U21" i="32" s="1"/>
  <c r="Y20" i="32"/>
  <c r="AH20" i="32" s="1"/>
  <c r="AQ20" i="32" s="1"/>
  <c r="Y19" i="32"/>
  <c r="AH19" i="32" s="1"/>
  <c r="AQ19" i="32" s="1"/>
  <c r="Y18" i="32"/>
  <c r="AK21" i="25"/>
  <c r="F152" i="30"/>
  <c r="F111" i="45" s="1"/>
  <c r="F197" i="45" s="1"/>
  <c r="F185" i="30"/>
  <c r="F144" i="45" s="1"/>
  <c r="Q35" i="22"/>
  <c r="H50" i="22" s="1"/>
  <c r="AA7" i="26"/>
  <c r="J118" i="30" s="1"/>
  <c r="P24" i="22"/>
  <c r="P19" i="22"/>
  <c r="G45" i="22" s="1"/>
  <c r="P27" i="7"/>
  <c r="G12" i="14" s="1"/>
  <c r="AA6" i="26"/>
  <c r="J117" i="30" s="1"/>
  <c r="S13" i="26"/>
  <c r="X3" i="43" s="1"/>
  <c r="R3" i="43" s="1"/>
  <c r="R4" i="43" s="1"/>
  <c r="F45" i="22"/>
  <c r="Q35" i="15"/>
  <c r="H50" i="15" s="1"/>
  <c r="H228" i="30"/>
  <c r="Q24" i="7"/>
  <c r="Q27" i="7" s="1"/>
  <c r="Q30" i="7" s="1"/>
  <c r="B41" i="14" s="1"/>
  <c r="J96" i="30"/>
  <c r="J31" i="45" s="1"/>
  <c r="Z9" i="43"/>
  <c r="F231" i="30"/>
  <c r="O32" i="3"/>
  <c r="F244" i="30" s="1"/>
  <c r="J103" i="30"/>
  <c r="J14" i="45" s="1"/>
  <c r="W3" i="43"/>
  <c r="W4" i="43" s="1"/>
  <c r="W5" i="43" s="1"/>
  <c r="W6" i="43" s="1"/>
  <c r="W7" i="43" s="1"/>
  <c r="W8" i="43" s="1"/>
  <c r="J109" i="30"/>
  <c r="J20" i="45" s="1"/>
  <c r="Z3" i="43"/>
  <c r="Z4" i="43" s="1"/>
  <c r="Z5" i="43" s="1"/>
  <c r="Z6" i="43" s="1"/>
  <c r="Z7" i="43" s="1"/>
  <c r="Z8" i="43" s="1"/>
  <c r="I254" i="30"/>
  <c r="J92" i="30"/>
  <c r="J27" i="45" s="1"/>
  <c r="U9" i="43"/>
  <c r="D11" i="21"/>
  <c r="F134" i="30" s="1"/>
  <c r="Z12" i="43"/>
  <c r="J110" i="30"/>
  <c r="J21" i="45" s="1"/>
  <c r="AA3" i="43"/>
  <c r="AA4" i="43" s="1"/>
  <c r="AA5" i="43" s="1"/>
  <c r="AA6" i="43" s="1"/>
  <c r="AA7" i="43" s="1"/>
  <c r="AA8" i="43" s="1"/>
  <c r="J104" i="30"/>
  <c r="J15" i="45" s="1"/>
  <c r="V3" i="43"/>
  <c r="V4" i="43" s="1"/>
  <c r="V5" i="43" s="1"/>
  <c r="V6" i="43" s="1"/>
  <c r="V7" i="43" s="1"/>
  <c r="V8" i="43" s="1"/>
  <c r="E168" i="30"/>
  <c r="E127" i="45" s="1"/>
  <c r="E174" i="30"/>
  <c r="E133" i="45" s="1"/>
  <c r="Y10" i="26"/>
  <c r="Y13" i="26" s="1"/>
  <c r="AA13" i="26" s="1"/>
  <c r="F87" i="26"/>
  <c r="E257" i="30"/>
  <c r="F164" i="30"/>
  <c r="F123" i="45" s="1"/>
  <c r="F198" i="45" s="1"/>
  <c r="L130" i="30"/>
  <c r="F52" i="22"/>
  <c r="E30" i="30"/>
  <c r="U20" i="25"/>
  <c r="P25" i="21"/>
  <c r="D17" i="14" s="1"/>
  <c r="K10" i="22" s="1"/>
  <c r="J105" i="30"/>
  <c r="J16" i="45" s="1"/>
  <c r="U3" i="43"/>
  <c r="U4" i="43" s="1"/>
  <c r="U5" i="43" s="1"/>
  <c r="U6" i="43" s="1"/>
  <c r="U7" i="43" s="1"/>
  <c r="U8" i="43" s="1"/>
  <c r="D55" i="21"/>
  <c r="E156" i="30"/>
  <c r="E115" i="45" s="1"/>
  <c r="G169" i="30"/>
  <c r="G128" i="45" s="1"/>
  <c r="G175" i="30"/>
  <c r="G134" i="45" s="1"/>
  <c r="E262" i="30"/>
  <c r="E242" i="30"/>
  <c r="S30" i="3"/>
  <c r="J242" i="30" s="1"/>
  <c r="E146" i="30"/>
  <c r="C57" i="21"/>
  <c r="H236" i="30"/>
  <c r="C30" i="21"/>
  <c r="H247" i="30"/>
  <c r="R44" i="7"/>
  <c r="E149" i="30"/>
  <c r="E108" i="45" s="1"/>
  <c r="C60" i="21"/>
  <c r="I5" i="43"/>
  <c r="L4" i="43"/>
  <c r="T4" i="43"/>
  <c r="AF4" i="43" s="1"/>
  <c r="M4" i="43"/>
  <c r="N4" i="43"/>
  <c r="S29" i="3"/>
  <c r="J241" i="30" s="1"/>
  <c r="E150" i="30"/>
  <c r="C61" i="21"/>
  <c r="H242" i="30"/>
  <c r="R39" i="7"/>
  <c r="I255" i="30" s="1"/>
  <c r="E82" i="30"/>
  <c r="J82" i="30" s="1"/>
  <c r="BG20" i="25"/>
  <c r="AA16" i="43" s="1"/>
  <c r="F156" i="30"/>
  <c r="E231" i="30"/>
  <c r="N32" i="3"/>
  <c r="E144" i="30"/>
  <c r="E103" i="45" s="1"/>
  <c r="C55" i="21"/>
  <c r="R43" i="7"/>
  <c r="H246" i="30"/>
  <c r="AU21" i="32"/>
  <c r="J97" i="30"/>
  <c r="J32" i="45" s="1"/>
  <c r="AA9" i="43"/>
  <c r="F174" i="30"/>
  <c r="F133" i="45" s="1"/>
  <c r="J91" i="30"/>
  <c r="J26" i="45" s="1"/>
  <c r="V9" i="43"/>
  <c r="BG18" i="25"/>
  <c r="Y16" i="43" s="1"/>
  <c r="T40" i="7"/>
  <c r="K256" i="30" s="1"/>
  <c r="H248" i="30"/>
  <c r="R45" i="7"/>
  <c r="H229" i="30"/>
  <c r="C23" i="21"/>
  <c r="AF3" i="43"/>
  <c r="F175" i="30"/>
  <c r="F134" i="45" s="1"/>
  <c r="E56" i="21"/>
  <c r="E169" i="30"/>
  <c r="E128" i="45" s="1"/>
  <c r="H93" i="30"/>
  <c r="H28" i="45" s="1"/>
  <c r="Q32" i="3"/>
  <c r="H244" i="30" s="1"/>
  <c r="J16" i="25"/>
  <c r="E13" i="30" s="1"/>
  <c r="D25" i="21" s="1"/>
  <c r="U18" i="25"/>
  <c r="P21" i="25"/>
  <c r="F170" i="30"/>
  <c r="F129" i="45" s="1"/>
  <c r="E57" i="21"/>
  <c r="D12" i="21"/>
  <c r="F135" i="30" s="1"/>
  <c r="AA12" i="43"/>
  <c r="G170" i="30"/>
  <c r="G129" i="45" s="1"/>
  <c r="J108" i="30"/>
  <c r="J19" i="45" s="1"/>
  <c r="Y3" i="43"/>
  <c r="Y4" i="43" s="1"/>
  <c r="Y5" i="43" s="1"/>
  <c r="Y6" i="43" s="1"/>
  <c r="Y7" i="43" s="1"/>
  <c r="Y8" i="43" s="1"/>
  <c r="E151" i="30"/>
  <c r="C62" i="21"/>
  <c r="E62" i="21"/>
  <c r="E255" i="30"/>
  <c r="AN67" i="43"/>
  <c r="AN60" i="43"/>
  <c r="AN19" i="43"/>
  <c r="AN68" i="43"/>
  <c r="C4" i="41"/>
  <c r="C4" i="38"/>
  <c r="AN24" i="43"/>
  <c r="AG9" i="43"/>
  <c r="D39" i="35"/>
  <c r="AN61" i="43"/>
  <c r="AH9" i="43"/>
  <c r="C4" i="39"/>
  <c r="AN16" i="43"/>
  <c r="C4" i="40"/>
  <c r="AL35" i="43"/>
  <c r="AN21" i="43"/>
  <c r="AN69" i="43"/>
  <c r="AN26" i="43"/>
  <c r="AN62" i="43"/>
  <c r="AN63" i="43"/>
  <c r="AN70" i="43"/>
  <c r="AL37" i="43"/>
  <c r="AL36" i="43"/>
  <c r="AN65" i="43"/>
  <c r="AN64" i="43"/>
  <c r="AN71" i="43"/>
  <c r="S34" i="3"/>
  <c r="J246" i="30" s="1"/>
  <c r="E249" i="30"/>
  <c r="O41" i="7"/>
  <c r="F257" i="30" s="1"/>
  <c r="F254" i="30"/>
  <c r="Q37" i="3"/>
  <c r="H249" i="30" s="1"/>
  <c r="G28" i="3"/>
  <c r="H32" i="7" s="1"/>
  <c r="E50" i="21"/>
  <c r="H50" i="21" s="1"/>
  <c r="G222" i="30" s="1"/>
  <c r="G181" i="45" s="1"/>
  <c r="H11" i="30"/>
  <c r="D23" i="21"/>
  <c r="H17" i="30"/>
  <c r="D29" i="21"/>
  <c r="H15" i="30"/>
  <c r="D27" i="21"/>
  <c r="E44" i="21"/>
  <c r="H16" i="30"/>
  <c r="D28" i="21"/>
  <c r="P18" i="7"/>
  <c r="T25" i="43"/>
  <c r="AF25" i="43" s="1"/>
  <c r="L25" i="43"/>
  <c r="M25" i="43"/>
  <c r="N25" i="43"/>
  <c r="P25" i="7"/>
  <c r="C13" i="14"/>
  <c r="N20" i="43"/>
  <c r="L20" i="43"/>
  <c r="H10" i="30"/>
  <c r="U21" i="31"/>
  <c r="T22" i="31" s="1"/>
  <c r="AH21" i="31"/>
  <c r="AQ18" i="31"/>
  <c r="AC21" i="31"/>
  <c r="AE21" i="31" s="1"/>
  <c r="AK18" i="31"/>
  <c r="AA11" i="26"/>
  <c r="E11" i="21" s="1"/>
  <c r="G134" i="30" s="1"/>
  <c r="N28" i="7"/>
  <c r="F82" i="26"/>
  <c r="Y8" i="26"/>
  <c r="H119" i="30" s="1"/>
  <c r="E47" i="21" s="1"/>
  <c r="M16" i="32"/>
  <c r="M17" i="32" s="1"/>
  <c r="AE15" i="31"/>
  <c r="E45" i="22"/>
  <c r="AE14" i="31"/>
  <c r="U16" i="31"/>
  <c r="U17" i="31" s="1"/>
  <c r="P35" i="22"/>
  <c r="G50" i="22" s="1"/>
  <c r="L21" i="22"/>
  <c r="E47" i="22" s="1"/>
  <c r="G14" i="27"/>
  <c r="C14" i="21" s="1"/>
  <c r="Q37" i="15"/>
  <c r="H52" i="15" s="1"/>
  <c r="H14" i="27"/>
  <c r="C15" i="21" s="1"/>
  <c r="C9" i="21"/>
  <c r="K28" i="7"/>
  <c r="Q18" i="7"/>
  <c r="E27" i="14"/>
  <c r="R18" i="7"/>
  <c r="B13" i="14"/>
  <c r="J28" i="7"/>
  <c r="E29" i="14"/>
  <c r="F47" i="15"/>
  <c r="E12" i="30"/>
  <c r="Q16" i="25"/>
  <c r="F26" i="30" s="1"/>
  <c r="F39" i="45" s="1"/>
  <c r="F23" i="30"/>
  <c r="F36" i="45" s="1"/>
  <c r="J38" i="22"/>
  <c r="J22" i="15"/>
  <c r="J38" i="15"/>
  <c r="I13" i="18"/>
  <c r="R12" i="18"/>
  <c r="K36" i="15"/>
  <c r="K20" i="15"/>
  <c r="K20" i="22"/>
  <c r="K36" i="22"/>
  <c r="N22" i="15"/>
  <c r="N38" i="22"/>
  <c r="N38" i="15"/>
  <c r="G13" i="22"/>
  <c r="J12" i="22"/>
  <c r="I12" i="22"/>
  <c r="L15" i="16"/>
  <c r="D50" i="15"/>
  <c r="C36" i="15"/>
  <c r="C33" i="15"/>
  <c r="C32" i="15" s="1"/>
  <c r="L28" i="7"/>
  <c r="D13" i="14"/>
  <c r="J20" i="22"/>
  <c r="J20" i="15"/>
  <c r="J36" i="22"/>
  <c r="J36" i="15"/>
  <c r="E47" i="15"/>
  <c r="P21" i="15"/>
  <c r="G47" i="15" s="1"/>
  <c r="AC16" i="31"/>
  <c r="AK16" i="31" s="1"/>
  <c r="AU16" i="31" s="1"/>
  <c r="AK13" i="31"/>
  <c r="AU13" i="31" s="1"/>
  <c r="M16" i="31"/>
  <c r="M17" i="31" s="1"/>
  <c r="BA19" i="25"/>
  <c r="Q25" i="7"/>
  <c r="Q28" i="7" s="1"/>
  <c r="Q31" i="7" s="1"/>
  <c r="E52" i="15"/>
  <c r="P37" i="15"/>
  <c r="G52" i="15" s="1"/>
  <c r="L8" i="22"/>
  <c r="P8" i="22" s="1"/>
  <c r="AR16" i="25"/>
  <c r="F65" i="30" s="1"/>
  <c r="F72" i="45" s="1"/>
  <c r="F13" i="30"/>
  <c r="D36" i="21" s="1"/>
  <c r="G27" i="14"/>
  <c r="M37" i="4"/>
  <c r="C43" i="14" s="1"/>
  <c r="E45" i="15"/>
  <c r="P19" i="15"/>
  <c r="G45" i="15" s="1"/>
  <c r="N16" i="16"/>
  <c r="K16" i="16"/>
  <c r="J16" i="16"/>
  <c r="G17" i="16"/>
  <c r="G18" i="16" s="1"/>
  <c r="J18" i="16" s="1"/>
  <c r="I16" i="16"/>
  <c r="F27" i="4"/>
  <c r="I27" i="4"/>
  <c r="I32" i="4" s="1"/>
  <c r="D24" i="14" s="1"/>
  <c r="H27" i="4"/>
  <c r="H32" i="4" s="1"/>
  <c r="C24" i="14" s="1"/>
  <c r="E27" i="4"/>
  <c r="G27" i="4"/>
  <c r="G32" i="4" s="1"/>
  <c r="B24" i="14" s="1"/>
  <c r="AA12" i="26"/>
  <c r="J123" i="30" s="1"/>
  <c r="AE13" i="31"/>
  <c r="K22" i="15"/>
  <c r="K38" i="22"/>
  <c r="K22" i="22"/>
  <c r="K38" i="15"/>
  <c r="N22" i="22"/>
  <c r="J22" i="22"/>
  <c r="E52" i="22"/>
  <c r="P37" i="22"/>
  <c r="G52" i="22" s="1"/>
  <c r="G24" i="14"/>
  <c r="M36" i="4"/>
  <c r="C42" i="14" s="1"/>
  <c r="E50" i="15"/>
  <c r="P35" i="15"/>
  <c r="G50" i="15" s="1"/>
  <c r="M28" i="7"/>
  <c r="D10" i="21"/>
  <c r="F133" i="30" s="1"/>
  <c r="M13" i="25"/>
  <c r="BA13" i="25"/>
  <c r="E75" i="30" s="1"/>
  <c r="J75" i="30" s="1"/>
  <c r="BA15" i="25"/>
  <c r="BG15" i="25" s="1"/>
  <c r="E93" i="30"/>
  <c r="E28" i="45" s="1"/>
  <c r="G31" i="13"/>
  <c r="N28" i="13"/>
  <c r="AC22" i="25"/>
  <c r="H44" i="30"/>
  <c r="H55" i="45" s="1"/>
  <c r="F111" i="30"/>
  <c r="F22" i="45" s="1"/>
  <c r="F186" i="45" s="1"/>
  <c r="E80" i="30"/>
  <c r="J80" i="30" s="1"/>
  <c r="E124" i="30"/>
  <c r="E30" i="21" s="1"/>
  <c r="G12" i="15"/>
  <c r="K25" i="15"/>
  <c r="K9" i="15"/>
  <c r="K25" i="22"/>
  <c r="K9" i="22"/>
  <c r="G124" i="30"/>
  <c r="U13" i="25"/>
  <c r="E23" i="30"/>
  <c r="E36" i="45" s="1"/>
  <c r="P16" i="25"/>
  <c r="U15" i="25"/>
  <c r="E25" i="30"/>
  <c r="J28" i="22"/>
  <c r="K28" i="22"/>
  <c r="I28" i="22"/>
  <c r="G29" i="22"/>
  <c r="M28" i="13"/>
  <c r="J31" i="13"/>
  <c r="F31" i="30"/>
  <c r="F44" i="45" s="1"/>
  <c r="F189" i="45" s="1"/>
  <c r="H111" i="30"/>
  <c r="H22" i="45" s="1"/>
  <c r="H186" i="45" s="1"/>
  <c r="F44" i="30"/>
  <c r="F55" i="45" s="1"/>
  <c r="F190" i="45" s="1"/>
  <c r="H49" i="30"/>
  <c r="H58" i="45" s="1"/>
  <c r="AU13" i="25"/>
  <c r="H62" i="30" s="1"/>
  <c r="H69" i="45" s="1"/>
  <c r="AQ14" i="31"/>
  <c r="AW14" i="31" s="1"/>
  <c r="AM14" i="31"/>
  <c r="AH16" i="31"/>
  <c r="E76" i="30"/>
  <c r="J76" i="30" s="1"/>
  <c r="BG14" i="25"/>
  <c r="P16" i="32"/>
  <c r="U16" i="32" s="1"/>
  <c r="U17" i="32" s="1"/>
  <c r="U13" i="32"/>
  <c r="F98" i="30"/>
  <c r="F33" i="45" s="1"/>
  <c r="F187" i="45" s="1"/>
  <c r="J27" i="13"/>
  <c r="E27" i="13"/>
  <c r="L27" i="13"/>
  <c r="L30" i="13" s="1"/>
  <c r="K27" i="13"/>
  <c r="K30" i="13" s="1"/>
  <c r="I27" i="13"/>
  <c r="I30" i="13" s="1"/>
  <c r="D33" i="14" s="1"/>
  <c r="H27" i="13"/>
  <c r="H30" i="13" s="1"/>
  <c r="C33" i="14" s="1"/>
  <c r="F27" i="13"/>
  <c r="G27" i="13"/>
  <c r="I8" i="27"/>
  <c r="L30" i="15"/>
  <c r="P30" i="15" s="1"/>
  <c r="C5" i="21"/>
  <c r="N23" i="21"/>
  <c r="M6" i="21"/>
  <c r="E128" i="30"/>
  <c r="L6" i="21"/>
  <c r="E129" i="30"/>
  <c r="H39" i="30"/>
  <c r="H50" i="45" s="1"/>
  <c r="L50" i="45" s="1"/>
  <c r="N50" i="45" s="1"/>
  <c r="AK16" i="25"/>
  <c r="F70" i="30"/>
  <c r="F77" i="45" s="1"/>
  <c r="F192" i="45" s="1"/>
  <c r="H55" i="30"/>
  <c r="H64" i="45" s="1"/>
  <c r="AU19" i="25"/>
  <c r="H68" i="30" s="1"/>
  <c r="H75" i="45" s="1"/>
  <c r="G57" i="30"/>
  <c r="G66" i="45" s="1"/>
  <c r="G191" i="45" s="1"/>
  <c r="C36" i="22"/>
  <c r="C33" i="22"/>
  <c r="C32" i="22" s="1"/>
  <c r="D50" i="22"/>
  <c r="U14" i="25"/>
  <c r="E24" i="30"/>
  <c r="E28" i="30"/>
  <c r="AU14" i="25"/>
  <c r="H63" i="30" s="1"/>
  <c r="H70" i="45" s="1"/>
  <c r="H50" i="30"/>
  <c r="H59" i="45" s="1"/>
  <c r="Y13" i="25"/>
  <c r="Y19" i="25"/>
  <c r="AE19" i="25" s="1"/>
  <c r="Z13" i="43" s="1"/>
  <c r="Y15" i="25"/>
  <c r="AH10" i="25"/>
  <c r="AQ10" i="25" s="1"/>
  <c r="Y18" i="25"/>
  <c r="Y20" i="25"/>
  <c r="AE20" i="25" s="1"/>
  <c r="AA13" i="43" s="1"/>
  <c r="Y14" i="25"/>
  <c r="F124" i="30"/>
  <c r="E41" i="21" s="1"/>
  <c r="H56" i="30"/>
  <c r="H65" i="45" s="1"/>
  <c r="AU20" i="25"/>
  <c r="H69" i="30" s="1"/>
  <c r="H76" i="45" s="1"/>
  <c r="E119" i="30"/>
  <c r="E25" i="21" s="1"/>
  <c r="G111" i="30"/>
  <c r="G22" i="45" s="1"/>
  <c r="G186" i="45" s="1"/>
  <c r="E12" i="14"/>
  <c r="E10" i="14"/>
  <c r="H51" i="30"/>
  <c r="H60" i="45" s="1"/>
  <c r="AU15" i="25"/>
  <c r="H64" i="30" s="1"/>
  <c r="H71" i="45" s="1"/>
  <c r="Y15" i="32"/>
  <c r="AH10" i="32"/>
  <c r="AQ10" i="32" s="1"/>
  <c r="Y14" i="32"/>
  <c r="Y13" i="32"/>
  <c r="E11" i="14"/>
  <c r="I11" i="16"/>
  <c r="E111" i="30"/>
  <c r="E22" i="45" s="1"/>
  <c r="E186" i="45" s="1"/>
  <c r="AU18" i="25"/>
  <c r="H67" i="30" s="1"/>
  <c r="H74" i="45" s="1"/>
  <c r="H54" i="30"/>
  <c r="H63" i="45" s="1"/>
  <c r="E98" i="30"/>
  <c r="E33" i="45" s="1"/>
  <c r="E187" i="45" s="1"/>
  <c r="E106" i="30"/>
  <c r="E17" i="45" s="1"/>
  <c r="S8" i="26"/>
  <c r="H98" i="30"/>
  <c r="H33" i="45" s="1"/>
  <c r="H187" i="45" s="1"/>
  <c r="AM15" i="31"/>
  <c r="AQ15" i="31"/>
  <c r="AW15" i="31" s="1"/>
  <c r="J116" i="30"/>
  <c r="J22" i="31"/>
  <c r="AQ13" i="31"/>
  <c r="G33" i="15"/>
  <c r="J32" i="15"/>
  <c r="I32" i="15"/>
  <c r="N32" i="15"/>
  <c r="Q32" i="15" s="1"/>
  <c r="K32" i="15"/>
  <c r="T20" i="43" l="1"/>
  <c r="AF20" i="43" s="1"/>
  <c r="L12" i="22"/>
  <c r="P12" i="22" s="1"/>
  <c r="I199" i="30"/>
  <c r="J158" i="45" s="1"/>
  <c r="E158" i="45"/>
  <c r="I194" i="30"/>
  <c r="J153" i="45" s="1"/>
  <c r="E153" i="45"/>
  <c r="G200" i="30"/>
  <c r="G159" i="45" s="1"/>
  <c r="G201" i="45" s="1"/>
  <c r="G156" i="45"/>
  <c r="I209" i="30"/>
  <c r="J168" i="45" s="1"/>
  <c r="E168" i="45"/>
  <c r="E151" i="45"/>
  <c r="F224" i="30"/>
  <c r="F183" i="45" s="1"/>
  <c r="F203" i="45" s="1"/>
  <c r="F180" i="45"/>
  <c r="G90" i="30"/>
  <c r="G25" i="45" s="1"/>
  <c r="H8" i="26"/>
  <c r="K5" i="26"/>
  <c r="G212" i="30"/>
  <c r="G171" i="45" s="1"/>
  <c r="G202" i="45" s="1"/>
  <c r="G168" i="45"/>
  <c r="I197" i="30"/>
  <c r="J156" i="45" s="1"/>
  <c r="E156" i="45"/>
  <c r="E163" i="45"/>
  <c r="I198" i="30"/>
  <c r="J157" i="45" s="1"/>
  <c r="E157" i="45"/>
  <c r="M5" i="21"/>
  <c r="L5" i="21"/>
  <c r="K5" i="21"/>
  <c r="M23" i="21" s="1"/>
  <c r="F177" i="45"/>
  <c r="I211" i="30"/>
  <c r="J170" i="45" s="1"/>
  <c r="E170" i="45"/>
  <c r="I206" i="30"/>
  <c r="J165" i="45" s="1"/>
  <c r="E165" i="45"/>
  <c r="F200" i="30"/>
  <c r="F159" i="45" s="1"/>
  <c r="F201" i="45" s="1"/>
  <c r="F156" i="45"/>
  <c r="I210" i="30"/>
  <c r="J169" i="45" s="1"/>
  <c r="E169" i="45"/>
  <c r="G95" i="30"/>
  <c r="G30" i="45" s="1"/>
  <c r="H13" i="26"/>
  <c r="K10" i="26"/>
  <c r="G182" i="45"/>
  <c r="G177" i="45"/>
  <c r="G176" i="45"/>
  <c r="F186" i="30"/>
  <c r="F145" i="45" s="1"/>
  <c r="H47" i="21"/>
  <c r="G23" i="21"/>
  <c r="E205" i="30" s="1"/>
  <c r="F23" i="21"/>
  <c r="E193" i="30" s="1"/>
  <c r="E195" i="30" s="1"/>
  <c r="H23" i="21"/>
  <c r="E217" i="30" s="1"/>
  <c r="E176" i="45" s="1"/>
  <c r="F57" i="21"/>
  <c r="G57" i="21"/>
  <c r="F182" i="30"/>
  <c r="F141" i="45" s="1"/>
  <c r="H27" i="21"/>
  <c r="E221" i="30" s="1"/>
  <c r="E180" i="45" s="1"/>
  <c r="F62" i="21"/>
  <c r="G62" i="21"/>
  <c r="G52" i="21"/>
  <c r="F52" i="21"/>
  <c r="H33" i="21"/>
  <c r="F216" i="30" s="1"/>
  <c r="F175" i="45" s="1"/>
  <c r="G33" i="21"/>
  <c r="F204" i="30" s="1"/>
  <c r="F163" i="45" s="1"/>
  <c r="F33" i="21"/>
  <c r="F192" i="30" s="1"/>
  <c r="F151" i="45" s="1"/>
  <c r="F180" i="30"/>
  <c r="F139" i="45" s="1"/>
  <c r="G61" i="21"/>
  <c r="F61" i="21"/>
  <c r="G60" i="21"/>
  <c r="F60" i="21"/>
  <c r="G30" i="21"/>
  <c r="F30" i="21"/>
  <c r="C36" i="21"/>
  <c r="H29" i="21"/>
  <c r="E223" i="30" s="1"/>
  <c r="E182" i="45" s="1"/>
  <c r="H44" i="21"/>
  <c r="G216" i="30" s="1"/>
  <c r="G55" i="21"/>
  <c r="F55" i="21"/>
  <c r="G152" i="30"/>
  <c r="G111" i="45" s="1"/>
  <c r="G197" i="45" s="1"/>
  <c r="G108" i="45"/>
  <c r="H41" i="21"/>
  <c r="G41" i="21"/>
  <c r="F41" i="21"/>
  <c r="H28" i="21"/>
  <c r="E222" i="30" s="1"/>
  <c r="J28" i="30"/>
  <c r="J41" i="45" s="1"/>
  <c r="E41" i="45"/>
  <c r="F159" i="30"/>
  <c r="F118" i="45" s="1"/>
  <c r="F115" i="45"/>
  <c r="I150" i="30"/>
  <c r="J109" i="45" s="1"/>
  <c r="E109" i="45"/>
  <c r="J30" i="30"/>
  <c r="J43" i="45" s="1"/>
  <c r="E43" i="45"/>
  <c r="G12" i="16"/>
  <c r="K11" i="16"/>
  <c r="J11" i="16"/>
  <c r="F24" i="16"/>
  <c r="Q7" i="16"/>
  <c r="H24" i="16" s="1"/>
  <c r="J10" i="16"/>
  <c r="N11" i="16"/>
  <c r="I10" i="16"/>
  <c r="N18" i="16"/>
  <c r="F35" i="16" s="1"/>
  <c r="J24" i="30"/>
  <c r="J37" i="45" s="1"/>
  <c r="E37" i="45"/>
  <c r="L55" i="45"/>
  <c r="N55" i="45" s="1"/>
  <c r="H190" i="45"/>
  <c r="K190" i="45" s="1"/>
  <c r="F147" i="30"/>
  <c r="F106" i="45" s="1"/>
  <c r="F103" i="45"/>
  <c r="N10" i="16"/>
  <c r="E8" i="21"/>
  <c r="G130" i="30" s="1"/>
  <c r="I175" i="30"/>
  <c r="J134" i="45" s="1"/>
  <c r="I146" i="30"/>
  <c r="J105" i="45" s="1"/>
  <c r="E105" i="45"/>
  <c r="K10" i="16"/>
  <c r="L7" i="16"/>
  <c r="J186" i="45"/>
  <c r="J25" i="30"/>
  <c r="J38" i="45" s="1"/>
  <c r="E38" i="45"/>
  <c r="P22" i="32"/>
  <c r="I151" i="30"/>
  <c r="J110" i="45" s="1"/>
  <c r="E110" i="45"/>
  <c r="L28" i="15"/>
  <c r="P28" i="15" s="1"/>
  <c r="E176" i="30"/>
  <c r="Y21" i="32"/>
  <c r="AE21" i="32" s="1"/>
  <c r="AC22" i="32" s="1"/>
  <c r="AH18" i="32"/>
  <c r="E61" i="21"/>
  <c r="C63" i="21"/>
  <c r="N14" i="26"/>
  <c r="P22" i="31"/>
  <c r="X4" i="43"/>
  <c r="X5" i="43" s="1"/>
  <c r="AI5" i="43" s="1"/>
  <c r="E7" i="21"/>
  <c r="G129" i="30" s="1"/>
  <c r="T39" i="7"/>
  <c r="K255" i="30" s="1"/>
  <c r="I169" i="30"/>
  <c r="J128" i="45" s="1"/>
  <c r="M16" i="25"/>
  <c r="M17" i="25" s="1"/>
  <c r="K10" i="15"/>
  <c r="AI3" i="43"/>
  <c r="F3" i="39" s="1"/>
  <c r="E77" i="30"/>
  <c r="J77" i="30" s="1"/>
  <c r="AA10" i="26"/>
  <c r="E10" i="21" s="1"/>
  <c r="G133" i="30" s="1"/>
  <c r="R22" i="31"/>
  <c r="Q22" i="31"/>
  <c r="S22" i="31"/>
  <c r="K26" i="22"/>
  <c r="D58" i="21"/>
  <c r="E81" i="30"/>
  <c r="J81" i="30" s="1"/>
  <c r="BG19" i="25"/>
  <c r="Z16" i="43" s="1"/>
  <c r="G168" i="30"/>
  <c r="G127" i="45" s="1"/>
  <c r="E180" i="30"/>
  <c r="E139" i="45" s="1"/>
  <c r="AL10" i="43"/>
  <c r="C3" i="40"/>
  <c r="C3" i="39"/>
  <c r="C3" i="41"/>
  <c r="C3" i="38"/>
  <c r="D38" i="35"/>
  <c r="AH3" i="43"/>
  <c r="AL18" i="43"/>
  <c r="AL23" i="43"/>
  <c r="AL51" i="43"/>
  <c r="AL39" i="43"/>
  <c r="AL33" i="43"/>
  <c r="AL29" i="43"/>
  <c r="AL30" i="43"/>
  <c r="AL44" i="43"/>
  <c r="AL16" i="43"/>
  <c r="AL31" i="43"/>
  <c r="AL45" i="43"/>
  <c r="AL32" i="43"/>
  <c r="AL46" i="43"/>
  <c r="AL47" i="43"/>
  <c r="AL48" i="43"/>
  <c r="AL49" i="43"/>
  <c r="BA21" i="25"/>
  <c r="F176" i="30"/>
  <c r="AG4" i="43"/>
  <c r="AH4" i="43"/>
  <c r="AL40" i="43"/>
  <c r="AE18" i="25"/>
  <c r="Y13" i="43" s="1"/>
  <c r="Y21" i="25"/>
  <c r="C9" i="14"/>
  <c r="V16" i="43"/>
  <c r="K26" i="15"/>
  <c r="B7" i="14"/>
  <c r="I8" i="16" s="1"/>
  <c r="W12" i="43"/>
  <c r="D9" i="14"/>
  <c r="U16" i="43"/>
  <c r="P28" i="7"/>
  <c r="G13" i="14" s="1"/>
  <c r="D60" i="21"/>
  <c r="E161" i="30"/>
  <c r="E120" i="45" s="1"/>
  <c r="E163" i="30"/>
  <c r="D62" i="21"/>
  <c r="S37" i="3"/>
  <c r="J249" i="30" s="1"/>
  <c r="D20" i="39"/>
  <c r="D23" i="39"/>
  <c r="D24" i="39"/>
  <c r="D25" i="39"/>
  <c r="D4" i="38"/>
  <c r="E8" i="35" s="1"/>
  <c r="D4" i="41"/>
  <c r="D4" i="40"/>
  <c r="D4" i="39"/>
  <c r="E39" i="35"/>
  <c r="AG3" i="43"/>
  <c r="I261" i="30"/>
  <c r="T45" i="7"/>
  <c r="K261" i="30" s="1"/>
  <c r="E244" i="30"/>
  <c r="S32" i="3"/>
  <c r="J244" i="30" s="1"/>
  <c r="E55" i="21"/>
  <c r="E58" i="21"/>
  <c r="C7" i="14"/>
  <c r="J8" i="16" s="1"/>
  <c r="V12" i="43"/>
  <c r="D7" i="14"/>
  <c r="K8" i="16" s="1"/>
  <c r="U12" i="43"/>
  <c r="E162" i="30"/>
  <c r="D61" i="21"/>
  <c r="H61" i="21" s="1"/>
  <c r="G174" i="30"/>
  <c r="G133" i="45" s="1"/>
  <c r="E4" i="38"/>
  <c r="F8" i="35" s="1"/>
  <c r="E4" i="41"/>
  <c r="E4" i="40"/>
  <c r="E4" i="39"/>
  <c r="F39" i="35"/>
  <c r="F171" i="30"/>
  <c r="F130" i="45" s="1"/>
  <c r="I170" i="30"/>
  <c r="J129" i="45" s="1"/>
  <c r="R5" i="43"/>
  <c r="R6" i="43" s="1"/>
  <c r="R7" i="43" s="1"/>
  <c r="R8" i="43" s="1"/>
  <c r="I144" i="30"/>
  <c r="J103" i="45" s="1"/>
  <c r="H231" i="30"/>
  <c r="C25" i="21"/>
  <c r="N5" i="43"/>
  <c r="I6" i="43"/>
  <c r="T5" i="43"/>
  <c r="AF5" i="43" s="1"/>
  <c r="L5" i="43"/>
  <c r="M5" i="43"/>
  <c r="E152" i="30"/>
  <c r="E111" i="45" s="1"/>
  <c r="E197" i="45" s="1"/>
  <c r="I149" i="30"/>
  <c r="I156" i="30"/>
  <c r="J115" i="45" s="1"/>
  <c r="E171" i="30"/>
  <c r="E130" i="45" s="1"/>
  <c r="AA8" i="26"/>
  <c r="J119" i="30" s="1"/>
  <c r="H121" i="30"/>
  <c r="E49" i="21" s="1"/>
  <c r="D6" i="21"/>
  <c r="F128" i="30" s="1"/>
  <c r="F131" i="30" s="1"/>
  <c r="E157" i="30"/>
  <c r="D56" i="21"/>
  <c r="D22" i="40"/>
  <c r="D17" i="40"/>
  <c r="D24" i="40"/>
  <c r="D19" i="40"/>
  <c r="D8" i="35"/>
  <c r="C27" i="38"/>
  <c r="D31" i="35" s="1"/>
  <c r="E31" i="35" s="1"/>
  <c r="C22" i="38"/>
  <c r="D26" i="35" s="1"/>
  <c r="E26" i="35" s="1"/>
  <c r="C19" i="38"/>
  <c r="D23" i="35" s="1"/>
  <c r="E23" i="35" s="1"/>
  <c r="E145" i="30"/>
  <c r="C56" i="21"/>
  <c r="I259" i="30"/>
  <c r="R46" i="7"/>
  <c r="T43" i="7"/>
  <c r="K259" i="30" s="1"/>
  <c r="F188" i="30"/>
  <c r="F147" i="45" s="1"/>
  <c r="F200" i="45" s="1"/>
  <c r="I260" i="30"/>
  <c r="T44" i="7"/>
  <c r="K260" i="30" s="1"/>
  <c r="R41" i="7"/>
  <c r="I257" i="30" s="1"/>
  <c r="H12" i="30"/>
  <c r="D24" i="21"/>
  <c r="M24" i="21"/>
  <c r="M25" i="21"/>
  <c r="K9" i="21"/>
  <c r="K13" i="21" s="1"/>
  <c r="C13" i="40"/>
  <c r="AH25" i="43"/>
  <c r="E13" i="40" s="1"/>
  <c r="F57" i="35" s="1"/>
  <c r="AN25" i="43"/>
  <c r="AG25" i="43"/>
  <c r="D13" i="40" s="1"/>
  <c r="E57" i="35" s="1"/>
  <c r="AN20" i="43"/>
  <c r="C8" i="40"/>
  <c r="AG20" i="43"/>
  <c r="D8" i="40" s="1"/>
  <c r="E52" i="35" s="1"/>
  <c r="AH20" i="43"/>
  <c r="E8" i="40" s="1"/>
  <c r="F52" i="35" s="1"/>
  <c r="AC22" i="31"/>
  <c r="Y22" i="31"/>
  <c r="AQ21" i="31"/>
  <c r="AK21" i="31"/>
  <c r="AM21" i="31" s="1"/>
  <c r="AM23" i="31" s="1"/>
  <c r="AU18" i="31"/>
  <c r="J122" i="30"/>
  <c r="E12" i="21"/>
  <c r="G135" i="30" s="1"/>
  <c r="L20" i="15"/>
  <c r="E46" i="15" s="1"/>
  <c r="AE16" i="31"/>
  <c r="AE17" i="31" s="1"/>
  <c r="P21" i="22"/>
  <c r="G47" i="22" s="1"/>
  <c r="J23" i="30"/>
  <c r="J36" i="45" s="1"/>
  <c r="BG13" i="25"/>
  <c r="H13" i="30"/>
  <c r="L36" i="15"/>
  <c r="E51" i="15" s="1"/>
  <c r="C16" i="21"/>
  <c r="M9" i="21"/>
  <c r="M136" i="30" s="1"/>
  <c r="C18" i="21"/>
  <c r="E140" i="30" s="1"/>
  <c r="C17" i="21"/>
  <c r="L39" i="21" s="1"/>
  <c r="E136" i="30"/>
  <c r="L9" i="21"/>
  <c r="L13" i="21" s="1"/>
  <c r="P30" i="7"/>
  <c r="C41" i="14" s="1"/>
  <c r="L38" i="15"/>
  <c r="P38" i="15" s="1"/>
  <c r="G53" i="15" s="1"/>
  <c r="L22" i="15"/>
  <c r="E48" i="15" s="1"/>
  <c r="L36" i="22"/>
  <c r="P36" i="22" s="1"/>
  <c r="G51" i="22" s="1"/>
  <c r="L38" i="22"/>
  <c r="E53" i="22" s="1"/>
  <c r="L20" i="22"/>
  <c r="P20" i="22" s="1"/>
  <c r="G46" i="22" s="1"/>
  <c r="L22" i="22"/>
  <c r="E48" i="22" s="1"/>
  <c r="BA16" i="25"/>
  <c r="BG16" i="25" s="1"/>
  <c r="BG17" i="25" s="1"/>
  <c r="I13" i="22"/>
  <c r="G14" i="22"/>
  <c r="J13" i="22"/>
  <c r="K13" i="22"/>
  <c r="AM13" i="31"/>
  <c r="K18" i="16"/>
  <c r="K17" i="16"/>
  <c r="L16" i="16"/>
  <c r="Q16" i="16"/>
  <c r="H33" i="16" s="1"/>
  <c r="F33" i="16"/>
  <c r="D51" i="15"/>
  <c r="C37" i="15"/>
  <c r="F53" i="22"/>
  <c r="Q38" i="22"/>
  <c r="H53" i="22" s="1"/>
  <c r="E32" i="18"/>
  <c r="F48" i="15"/>
  <c r="Q22" i="15"/>
  <c r="H48" i="15" s="1"/>
  <c r="I18" i="16"/>
  <c r="N36" i="22"/>
  <c r="N20" i="15"/>
  <c r="N36" i="15"/>
  <c r="N20" i="22"/>
  <c r="P15" i="16"/>
  <c r="G32" i="16" s="1"/>
  <c r="E32" i="16"/>
  <c r="F48" i="22"/>
  <c r="Q22" i="22"/>
  <c r="H48" i="22" s="1"/>
  <c r="I14" i="18"/>
  <c r="R14" i="18" s="1"/>
  <c r="E34" i="18" s="1"/>
  <c r="R13" i="18"/>
  <c r="E33" i="18" s="1"/>
  <c r="AW13" i="31"/>
  <c r="J17" i="16"/>
  <c r="E13" i="14"/>
  <c r="F53" i="15"/>
  <c r="Q38" i="15"/>
  <c r="H53" i="15" s="1"/>
  <c r="E18" i="30"/>
  <c r="N33" i="15"/>
  <c r="Q33" i="15" s="1"/>
  <c r="I33" i="15"/>
  <c r="J33" i="15"/>
  <c r="K33" i="15"/>
  <c r="J106" i="30"/>
  <c r="J17" i="45" s="1"/>
  <c r="T8" i="26"/>
  <c r="O23" i="21"/>
  <c r="K129" i="30"/>
  <c r="E9" i="21"/>
  <c r="Z14" i="26"/>
  <c r="X16" i="26" s="1"/>
  <c r="E15" i="21" s="1"/>
  <c r="J124" i="30"/>
  <c r="L22" i="32"/>
  <c r="K22" i="32"/>
  <c r="I28" i="3"/>
  <c r="J111" i="30"/>
  <c r="J22" i="45" s="1"/>
  <c r="R14" i="26"/>
  <c r="AH20" i="25"/>
  <c r="AM20" i="25" s="1"/>
  <c r="AA14" i="43" s="1"/>
  <c r="E43" i="30"/>
  <c r="E42" i="30"/>
  <c r="AH19" i="25"/>
  <c r="AM19" i="25" s="1"/>
  <c r="Z14" i="43" s="1"/>
  <c r="D51" i="22"/>
  <c r="C37" i="22"/>
  <c r="L129" i="30"/>
  <c r="O24" i="21"/>
  <c r="C16" i="14" s="1"/>
  <c r="K128" i="30"/>
  <c r="M27" i="13"/>
  <c r="J30" i="13"/>
  <c r="M31" i="13"/>
  <c r="M34" i="13" s="1"/>
  <c r="E26" i="30"/>
  <c r="U16" i="25"/>
  <c r="U17" i="25" s="1"/>
  <c r="I12" i="43" s="1"/>
  <c r="H57" i="30"/>
  <c r="H66" i="45" s="1"/>
  <c r="H191" i="45" s="1"/>
  <c r="AU21" i="25"/>
  <c r="P14" i="26"/>
  <c r="Q14" i="26"/>
  <c r="J22" i="32"/>
  <c r="L22" i="31"/>
  <c r="K22" i="31"/>
  <c r="E36" i="30"/>
  <c r="AH13" i="25"/>
  <c r="Y16" i="25"/>
  <c r="AE13" i="25"/>
  <c r="L128" i="30"/>
  <c r="N24" i="21"/>
  <c r="B16" i="14" s="1"/>
  <c r="N27" i="13"/>
  <c r="G30" i="13"/>
  <c r="B33" i="14" s="1"/>
  <c r="AE14" i="32"/>
  <c r="AH14" i="32"/>
  <c r="AE14" i="25"/>
  <c r="AH14" i="25"/>
  <c r="E37" i="30"/>
  <c r="AE15" i="25"/>
  <c r="AH15" i="25"/>
  <c r="E38" i="30"/>
  <c r="AU16" i="25"/>
  <c r="H65" i="30" s="1"/>
  <c r="H72" i="45" s="1"/>
  <c r="H52" i="30"/>
  <c r="H61" i="45" s="1"/>
  <c r="O25" i="21"/>
  <c r="C17" i="14" s="1"/>
  <c r="M129" i="30"/>
  <c r="M128" i="30"/>
  <c r="N25" i="21"/>
  <c r="B17" i="14" s="1"/>
  <c r="AE25" i="31"/>
  <c r="AD22" i="31"/>
  <c r="AE24" i="31"/>
  <c r="Z22" i="31"/>
  <c r="AB22" i="31"/>
  <c r="L22" i="25"/>
  <c r="D15" i="21" s="1"/>
  <c r="K22" i="25"/>
  <c r="D14" i="21" s="1"/>
  <c r="L32" i="15"/>
  <c r="P32" i="15" s="1"/>
  <c r="W14" i="26"/>
  <c r="L28" i="22"/>
  <c r="P28" i="22" s="1"/>
  <c r="V14" i="26"/>
  <c r="AH13" i="32"/>
  <c r="AE13" i="32"/>
  <c r="Y16" i="32"/>
  <c r="AH18" i="25"/>
  <c r="E41" i="30"/>
  <c r="G128" i="30"/>
  <c r="AE15" i="32"/>
  <c r="AH15" i="32"/>
  <c r="Y14" i="26"/>
  <c r="W16" i="26" s="1"/>
  <c r="E14" i="21" s="1"/>
  <c r="H124" i="30"/>
  <c r="E52" i="21" s="1"/>
  <c r="E31" i="30"/>
  <c r="U21" i="25"/>
  <c r="AQ16" i="31"/>
  <c r="AW16" i="31" s="1"/>
  <c r="AW17" i="31" s="1"/>
  <c r="AM16" i="31"/>
  <c r="AM17" i="31" s="1"/>
  <c r="G30" i="22"/>
  <c r="J29" i="22"/>
  <c r="I29" i="22"/>
  <c r="K29" i="22"/>
  <c r="G13" i="15"/>
  <c r="J12" i="15"/>
  <c r="K12" i="15"/>
  <c r="I12" i="15"/>
  <c r="T22" i="32"/>
  <c r="R22" i="32"/>
  <c r="Q22" i="32"/>
  <c r="S22" i="32"/>
  <c r="N31" i="13"/>
  <c r="N34" i="13" s="1"/>
  <c r="E131" i="30"/>
  <c r="X14" i="26"/>
  <c r="O14" i="26"/>
  <c r="J22" i="25"/>
  <c r="D13" i="21" s="1"/>
  <c r="L10" i="16" l="1"/>
  <c r="P10" i="16" s="1"/>
  <c r="G27" i="16" s="1"/>
  <c r="I195" i="30"/>
  <c r="J154" i="45" s="1"/>
  <c r="E154" i="45"/>
  <c r="E207" i="30"/>
  <c r="I205" i="30"/>
  <c r="J164" i="45" s="1"/>
  <c r="E164" i="45"/>
  <c r="G98" i="30"/>
  <c r="G33" i="45" s="1"/>
  <c r="G187" i="45" s="1"/>
  <c r="J187" i="45" s="1"/>
  <c r="K13" i="26"/>
  <c r="G93" i="30"/>
  <c r="G28" i="45" s="1"/>
  <c r="K8" i="26"/>
  <c r="L13" i="22"/>
  <c r="P13" i="22" s="1"/>
  <c r="F199" i="45"/>
  <c r="F135" i="45"/>
  <c r="E199" i="45"/>
  <c r="E135" i="45"/>
  <c r="I192" i="30"/>
  <c r="J151" i="45" s="1"/>
  <c r="I217" i="30"/>
  <c r="J176" i="45" s="1"/>
  <c r="I223" i="30"/>
  <c r="J182" i="45" s="1"/>
  <c r="I204" i="30"/>
  <c r="J163" i="45" s="1"/>
  <c r="I193" i="30"/>
  <c r="J152" i="45" s="1"/>
  <c r="E152" i="45"/>
  <c r="Y9" i="43"/>
  <c r="J95" i="30"/>
  <c r="J30" i="45" s="1"/>
  <c r="F219" i="30"/>
  <c r="F178" i="45" s="1"/>
  <c r="J90" i="30"/>
  <c r="J25" i="45" s="1"/>
  <c r="W9" i="43"/>
  <c r="I216" i="30"/>
  <c r="J175" i="45" s="1"/>
  <c r="G219" i="30"/>
  <c r="G175" i="45"/>
  <c r="E27" i="16"/>
  <c r="L11" i="16"/>
  <c r="P11" i="16" s="1"/>
  <c r="G28" i="16" s="1"/>
  <c r="L195" i="45"/>
  <c r="I222" i="30"/>
  <c r="J181" i="45" s="1"/>
  <c r="E181" i="45"/>
  <c r="F195" i="30"/>
  <c r="F154" i="45" s="1"/>
  <c r="E200" i="30"/>
  <c r="H62" i="21"/>
  <c r="J197" i="45"/>
  <c r="L197" i="45" s="1"/>
  <c r="F183" i="30"/>
  <c r="F142" i="45" s="1"/>
  <c r="H56" i="21"/>
  <c r="G56" i="21"/>
  <c r="F56" i="21"/>
  <c r="G63" i="21"/>
  <c r="F63" i="21"/>
  <c r="G36" i="21"/>
  <c r="F36" i="21"/>
  <c r="H36" i="21"/>
  <c r="G185" i="30"/>
  <c r="G144" i="45" s="1"/>
  <c r="H49" i="21"/>
  <c r="G221" i="30" s="1"/>
  <c r="H55" i="21"/>
  <c r="G25" i="21"/>
  <c r="F25" i="21"/>
  <c r="H25" i="21"/>
  <c r="G186" i="30"/>
  <c r="E186" i="30" s="1"/>
  <c r="E145" i="45" s="1"/>
  <c r="H52" i="21"/>
  <c r="H24" i="21"/>
  <c r="E218" i="30" s="1"/>
  <c r="L194" i="45"/>
  <c r="K187" i="45"/>
  <c r="M190" i="45"/>
  <c r="E28" i="16"/>
  <c r="J41" i="30"/>
  <c r="J52" i="45" s="1"/>
  <c r="E52" i="45"/>
  <c r="J26" i="30"/>
  <c r="J39" i="45" s="1"/>
  <c r="E39" i="45"/>
  <c r="I157" i="30"/>
  <c r="J116" i="45" s="1"/>
  <c r="E116" i="45"/>
  <c r="I152" i="30"/>
  <c r="J111" i="45" s="1"/>
  <c r="J108" i="45"/>
  <c r="I162" i="30"/>
  <c r="J121" i="45" s="1"/>
  <c r="E121" i="45"/>
  <c r="G13" i="16"/>
  <c r="N13" i="16" s="1"/>
  <c r="F30" i="16" s="1"/>
  <c r="I12" i="16"/>
  <c r="J12" i="16"/>
  <c r="K12" i="16"/>
  <c r="J31" i="30"/>
  <c r="J44" i="45" s="1"/>
  <c r="E44" i="45"/>
  <c r="E189" i="45" s="1"/>
  <c r="J189" i="45" s="1"/>
  <c r="J37" i="30"/>
  <c r="J48" i="45" s="1"/>
  <c r="E48" i="45"/>
  <c r="J36" i="30"/>
  <c r="J47" i="45" s="1"/>
  <c r="E47" i="45"/>
  <c r="Q18" i="16"/>
  <c r="H35" i="16" s="1"/>
  <c r="G171" i="30"/>
  <c r="G130" i="45" s="1"/>
  <c r="E24" i="16"/>
  <c r="P7" i="16"/>
  <c r="G24" i="16" s="1"/>
  <c r="F27" i="16"/>
  <c r="Q10" i="16"/>
  <c r="H27" i="16" s="1"/>
  <c r="J38" i="30"/>
  <c r="J49" i="45" s="1"/>
  <c r="E49" i="45"/>
  <c r="J42" i="30"/>
  <c r="J53" i="45" s="1"/>
  <c r="E53" i="45"/>
  <c r="I145" i="30"/>
  <c r="J104" i="45" s="1"/>
  <c r="E104" i="45"/>
  <c r="I174" i="30"/>
  <c r="J133" i="45" s="1"/>
  <c r="Q11" i="16"/>
  <c r="H28" i="16" s="1"/>
  <c r="F28" i="16"/>
  <c r="J43" i="30"/>
  <c r="J54" i="45" s="1"/>
  <c r="E54" i="45"/>
  <c r="N12" i="16"/>
  <c r="F29" i="16" s="1"/>
  <c r="I163" i="30"/>
  <c r="J122" i="45" s="1"/>
  <c r="E122" i="45"/>
  <c r="O190" i="45"/>
  <c r="G180" i="30"/>
  <c r="G139" i="45" s="1"/>
  <c r="G131" i="30"/>
  <c r="AH21" i="32"/>
  <c r="AQ18" i="32"/>
  <c r="C58" i="21"/>
  <c r="E5" i="21"/>
  <c r="AI4" i="43"/>
  <c r="AM40" i="43" s="1"/>
  <c r="X6" i="43"/>
  <c r="X7" i="43" s="1"/>
  <c r="AM32" i="43"/>
  <c r="AK3" i="43"/>
  <c r="H3" i="41" s="1"/>
  <c r="AM44" i="43"/>
  <c r="AM18" i="43"/>
  <c r="G38" i="35"/>
  <c r="Q23" i="21"/>
  <c r="AM48" i="43"/>
  <c r="AM51" i="43"/>
  <c r="AM10" i="43"/>
  <c r="K136" i="30"/>
  <c r="AM46" i="43"/>
  <c r="AM33" i="43"/>
  <c r="F3" i="40"/>
  <c r="G21" i="40" s="1"/>
  <c r="AM47" i="43"/>
  <c r="AM45" i="43"/>
  <c r="AM29" i="43"/>
  <c r="AM23" i="43"/>
  <c r="F3" i="38"/>
  <c r="G7" i="35" s="1"/>
  <c r="AJ3" i="43"/>
  <c r="G3" i="38" s="1"/>
  <c r="H7" i="35" s="1"/>
  <c r="J121" i="30"/>
  <c r="AM49" i="43"/>
  <c r="AM31" i="43"/>
  <c r="AM30" i="43"/>
  <c r="AM39" i="43"/>
  <c r="F3" i="41"/>
  <c r="I168" i="30"/>
  <c r="J127" i="45" s="1"/>
  <c r="T41" i="7"/>
  <c r="K257" i="30" s="1"/>
  <c r="D5" i="21"/>
  <c r="P20" i="15"/>
  <c r="G46" i="15" s="1"/>
  <c r="P31" i="7"/>
  <c r="L8" i="16"/>
  <c r="E25" i="16" s="1"/>
  <c r="E51" i="22"/>
  <c r="P36" i="15"/>
  <c r="G51" i="15" s="1"/>
  <c r="B9" i="14"/>
  <c r="E9" i="14" s="1"/>
  <c r="W16" i="43"/>
  <c r="E185" i="30"/>
  <c r="E144" i="45" s="1"/>
  <c r="D7" i="35"/>
  <c r="C14" i="38"/>
  <c r="D18" i="35" s="1"/>
  <c r="E18" i="35" s="1"/>
  <c r="P22" i="25"/>
  <c r="X12" i="43"/>
  <c r="AI12" i="43" s="1"/>
  <c r="B8" i="14"/>
  <c r="W13" i="43"/>
  <c r="E181" i="30"/>
  <c r="T6" i="43"/>
  <c r="AF6" i="43" s="1"/>
  <c r="M6" i="43"/>
  <c r="N6" i="43"/>
  <c r="I7" i="43"/>
  <c r="L6" i="43"/>
  <c r="E187" i="30"/>
  <c r="E146" i="45" s="1"/>
  <c r="AM18" i="25"/>
  <c r="Y14" i="43" s="1"/>
  <c r="AH21" i="25"/>
  <c r="C8" i="14"/>
  <c r="V13" i="43"/>
  <c r="N12" i="43"/>
  <c r="M12" i="43"/>
  <c r="T12" i="43"/>
  <c r="AF12" i="43" s="1"/>
  <c r="L12" i="43"/>
  <c r="I262" i="30"/>
  <c r="T46" i="7"/>
  <c r="K262" i="30" s="1"/>
  <c r="AJ5" i="43"/>
  <c r="AK5" i="43"/>
  <c r="AM41" i="43"/>
  <c r="E164" i="30"/>
  <c r="E123" i="45" s="1"/>
  <c r="E198" i="45" s="1"/>
  <c r="J198" i="45" s="1"/>
  <c r="L198" i="45" s="1"/>
  <c r="I161" i="30"/>
  <c r="BG21" i="25"/>
  <c r="BA22" i="25" s="1"/>
  <c r="E3" i="40"/>
  <c r="E3" i="38"/>
  <c r="F7" i="35" s="1"/>
  <c r="E3" i="41"/>
  <c r="E3" i="39"/>
  <c r="F38" i="35"/>
  <c r="D16" i="39"/>
  <c r="D17" i="39"/>
  <c r="D18" i="39"/>
  <c r="D19" i="39"/>
  <c r="G173" i="30"/>
  <c r="G132" i="45" s="1"/>
  <c r="E60" i="21"/>
  <c r="AH5" i="43"/>
  <c r="AG5" i="43"/>
  <c r="AL41" i="43"/>
  <c r="D3" i="40"/>
  <c r="E38" i="35"/>
  <c r="D3" i="39"/>
  <c r="D3" i="41"/>
  <c r="D3" i="38"/>
  <c r="E7" i="35" s="1"/>
  <c r="AM16" i="43"/>
  <c r="E7" i="14"/>
  <c r="D57" i="21"/>
  <c r="E158" i="30"/>
  <c r="E147" i="30"/>
  <c r="D8" i="14"/>
  <c r="U13" i="43"/>
  <c r="G16" i="39"/>
  <c r="G17" i="39"/>
  <c r="G19" i="39"/>
  <c r="G18" i="39"/>
  <c r="D16" i="40"/>
  <c r="D21" i="40"/>
  <c r="E63" i="21"/>
  <c r="H18" i="30"/>
  <c r="D30" i="21"/>
  <c r="E138" i="30"/>
  <c r="L38" i="21"/>
  <c r="D23" i="40"/>
  <c r="D57" i="35"/>
  <c r="D52" i="35"/>
  <c r="D18" i="40"/>
  <c r="D16" i="21"/>
  <c r="G29" i="3"/>
  <c r="R20" i="43"/>
  <c r="X20" i="43"/>
  <c r="AI20" i="43" s="1"/>
  <c r="AU21" i="31"/>
  <c r="AW21" i="31" s="1"/>
  <c r="AK22" i="31"/>
  <c r="E139" i="30"/>
  <c r="E78" i="30"/>
  <c r="J78" i="30" s="1"/>
  <c r="M13" i="21"/>
  <c r="P22" i="22"/>
  <c r="G48" i="22" s="1"/>
  <c r="L136" i="30"/>
  <c r="Q25" i="21"/>
  <c r="G17" i="14" s="1"/>
  <c r="N10" i="15" s="1"/>
  <c r="Q10" i="15" s="1"/>
  <c r="L40" i="21"/>
  <c r="P22" i="15"/>
  <c r="G48" i="15" s="1"/>
  <c r="Q24" i="21"/>
  <c r="G16" i="14" s="1"/>
  <c r="N9" i="22" s="1"/>
  <c r="Q9" i="22" s="1"/>
  <c r="E53" i="15"/>
  <c r="E46" i="22"/>
  <c r="P38" i="22"/>
  <c r="G53" i="22" s="1"/>
  <c r="I15" i="21"/>
  <c r="I18" i="21" s="1"/>
  <c r="R40" i="21" s="1"/>
  <c r="L131" i="30"/>
  <c r="E83" i="30"/>
  <c r="J83" i="30" s="1"/>
  <c r="Q36" i="22"/>
  <c r="H51" i="22" s="1"/>
  <c r="F51" i="22"/>
  <c r="L18" i="16"/>
  <c r="I14" i="22"/>
  <c r="G16" i="22"/>
  <c r="K14" i="22"/>
  <c r="J14" i="22"/>
  <c r="I14" i="21"/>
  <c r="I17" i="21" s="1"/>
  <c r="R39" i="21" s="1"/>
  <c r="F51" i="15"/>
  <c r="Q36" i="15"/>
  <c r="H51" i="15" s="1"/>
  <c r="F46" i="22"/>
  <c r="Q20" i="22"/>
  <c r="H46" i="22" s="1"/>
  <c r="K131" i="30"/>
  <c r="Q20" i="15"/>
  <c r="H46" i="15" s="1"/>
  <c r="F46" i="15"/>
  <c r="R19" i="18"/>
  <c r="D52" i="15"/>
  <c r="C38" i="15"/>
  <c r="D53" i="15" s="1"/>
  <c r="P16" i="16"/>
  <c r="G33" i="16" s="1"/>
  <c r="E33" i="16"/>
  <c r="D52" i="22"/>
  <c r="C38" i="22"/>
  <c r="D53" i="22" s="1"/>
  <c r="J32" i="7"/>
  <c r="E17" i="21"/>
  <c r="E18" i="21"/>
  <c r="G136" i="30"/>
  <c r="G7" i="14"/>
  <c r="N8" i="16" s="1"/>
  <c r="T22" i="25"/>
  <c r="R22" i="25"/>
  <c r="S22" i="25"/>
  <c r="Q22" i="25"/>
  <c r="AQ18" i="25"/>
  <c r="E54" i="30"/>
  <c r="AM14" i="25"/>
  <c r="V14" i="43" s="1"/>
  <c r="AQ14" i="25"/>
  <c r="E50" i="30"/>
  <c r="AM14" i="32"/>
  <c r="AQ14" i="32"/>
  <c r="AW14" i="32" s="1"/>
  <c r="I25" i="15"/>
  <c r="E16" i="14"/>
  <c r="I9" i="22"/>
  <c r="I25" i="22"/>
  <c r="I9" i="15"/>
  <c r="E49" i="30"/>
  <c r="AQ13" i="25"/>
  <c r="AM13" i="25"/>
  <c r="W14" i="43" s="1"/>
  <c r="V16" i="26"/>
  <c r="E13" i="21" s="1"/>
  <c r="E16" i="21" s="1"/>
  <c r="M131" i="30"/>
  <c r="L33" i="15"/>
  <c r="P33" i="15" s="1"/>
  <c r="AM25" i="31"/>
  <c r="AL22" i="31"/>
  <c r="AM24" i="31"/>
  <c r="AI22" i="31"/>
  <c r="AH16" i="32"/>
  <c r="AE16" i="32"/>
  <c r="AE17" i="32" s="1"/>
  <c r="F136" i="30"/>
  <c r="D17" i="21"/>
  <c r="D18" i="21"/>
  <c r="AM15" i="25"/>
  <c r="U14" i="43" s="1"/>
  <c r="E51" i="30"/>
  <c r="AQ15" i="25"/>
  <c r="E44" i="30"/>
  <c r="AE21" i="25"/>
  <c r="AQ13" i="32"/>
  <c r="AW13" i="32" s="1"/>
  <c r="AM13" i="32"/>
  <c r="I26" i="15"/>
  <c r="E17" i="14"/>
  <c r="I10" i="22"/>
  <c r="I26" i="22"/>
  <c r="I10" i="15"/>
  <c r="Y22" i="32"/>
  <c r="N30" i="13"/>
  <c r="N33" i="13" s="1"/>
  <c r="B45" i="14" s="1"/>
  <c r="AH16" i="25"/>
  <c r="AE16" i="25"/>
  <c r="AE17" i="25" s="1"/>
  <c r="I13" i="43" s="1"/>
  <c r="E39" i="30"/>
  <c r="J9" i="22"/>
  <c r="J25" i="15"/>
  <c r="J25" i="22"/>
  <c r="J9" i="15"/>
  <c r="AQ19" i="25"/>
  <c r="E55" i="30"/>
  <c r="H29" i="3"/>
  <c r="F29" i="3"/>
  <c r="E29" i="3"/>
  <c r="D29" i="3"/>
  <c r="L12" i="15"/>
  <c r="P12" i="15" s="1"/>
  <c r="K30" i="22"/>
  <c r="G32" i="22"/>
  <c r="J30" i="22"/>
  <c r="I30" i="22"/>
  <c r="AQ15" i="32"/>
  <c r="AW15" i="32" s="1"/>
  <c r="AM15" i="32"/>
  <c r="I13" i="15"/>
  <c r="K13" i="15"/>
  <c r="G14" i="15"/>
  <c r="J13" i="15"/>
  <c r="J10" i="22"/>
  <c r="J26" i="15"/>
  <c r="J26" i="22"/>
  <c r="J10" i="15"/>
  <c r="E33" i="14"/>
  <c r="I17" i="16"/>
  <c r="L17" i="16" s="1"/>
  <c r="H70" i="30"/>
  <c r="H77" i="45" s="1"/>
  <c r="H192" i="45" s="1"/>
  <c r="M30" i="13"/>
  <c r="G33" i="14" s="1"/>
  <c r="N17" i="16" s="1"/>
  <c r="E56" i="30"/>
  <c r="AQ20" i="25"/>
  <c r="L29" i="22"/>
  <c r="P29" i="22" s="1"/>
  <c r="AH22" i="31"/>
  <c r="F14" i="26" l="1"/>
  <c r="I14" i="26"/>
  <c r="X9" i="43"/>
  <c r="J14" i="26"/>
  <c r="J98" i="30"/>
  <c r="G14" i="26"/>
  <c r="H14" i="26"/>
  <c r="E166" i="45"/>
  <c r="E177" i="45"/>
  <c r="I218" i="30"/>
  <c r="J177" i="45" s="1"/>
  <c r="I200" i="30"/>
  <c r="J159" i="45" s="1"/>
  <c r="J201" i="45" s="1"/>
  <c r="L201" i="45" s="1"/>
  <c r="E159" i="45"/>
  <c r="E201" i="45" s="1"/>
  <c r="J93" i="30"/>
  <c r="J28" i="45" s="1"/>
  <c r="L8" i="26"/>
  <c r="Q12" i="16"/>
  <c r="H29" i="16" s="1"/>
  <c r="G178" i="45"/>
  <c r="I221" i="30"/>
  <c r="J180" i="45" s="1"/>
  <c r="G224" i="30"/>
  <c r="G180" i="45"/>
  <c r="G145" i="45"/>
  <c r="I171" i="30"/>
  <c r="J130" i="45" s="1"/>
  <c r="G188" i="30"/>
  <c r="G147" i="45" s="1"/>
  <c r="G200" i="45" s="1"/>
  <c r="H30" i="21"/>
  <c r="H57" i="21"/>
  <c r="G58" i="21"/>
  <c r="F58" i="21"/>
  <c r="H58" i="21"/>
  <c r="H60" i="21"/>
  <c r="J44" i="30"/>
  <c r="E55" i="45"/>
  <c r="E190" i="45" s="1"/>
  <c r="J190" i="45" s="1"/>
  <c r="I147" i="30"/>
  <c r="J106" i="45" s="1"/>
  <c r="E106" i="45"/>
  <c r="J56" i="30"/>
  <c r="J65" i="45" s="1"/>
  <c r="E65" i="45"/>
  <c r="J55" i="30"/>
  <c r="J64" i="45" s="1"/>
  <c r="E64" i="45"/>
  <c r="J54" i="30"/>
  <c r="J63" i="45" s="1"/>
  <c r="E63" i="45"/>
  <c r="I158" i="30"/>
  <c r="J117" i="45" s="1"/>
  <c r="E117" i="45"/>
  <c r="J51" i="30"/>
  <c r="J60" i="45" s="1"/>
  <c r="E60" i="45"/>
  <c r="J49" i="30"/>
  <c r="J58" i="45" s="1"/>
  <c r="E58" i="45"/>
  <c r="J50" i="30"/>
  <c r="J59" i="45" s="1"/>
  <c r="E59" i="45"/>
  <c r="L14" i="22"/>
  <c r="P14" i="22" s="1"/>
  <c r="AJ4" i="43"/>
  <c r="L189" i="45"/>
  <c r="N189" i="45"/>
  <c r="L12" i="16"/>
  <c r="J39" i="30"/>
  <c r="J50" i="45" s="1"/>
  <c r="E50" i="45"/>
  <c r="AK4" i="43"/>
  <c r="I164" i="30"/>
  <c r="J123" i="45" s="1"/>
  <c r="J120" i="45"/>
  <c r="Q13" i="16"/>
  <c r="H30" i="16" s="1"/>
  <c r="I13" i="16"/>
  <c r="K13" i="16"/>
  <c r="J13" i="16"/>
  <c r="G181" i="30"/>
  <c r="G140" i="45" s="1"/>
  <c r="E140" i="45"/>
  <c r="F14" i="38"/>
  <c r="G18" i="35" s="1"/>
  <c r="H18" i="35" s="1"/>
  <c r="AQ21" i="32"/>
  <c r="AW21" i="32" s="1"/>
  <c r="AU22" i="32" s="1"/>
  <c r="AM21" i="32"/>
  <c r="AI6" i="43"/>
  <c r="AM42" i="43" s="1"/>
  <c r="H3" i="38"/>
  <c r="I7" i="35" s="1"/>
  <c r="H3" i="40"/>
  <c r="I38" i="35"/>
  <c r="H3" i="39"/>
  <c r="G3" i="39"/>
  <c r="G16" i="40"/>
  <c r="G3" i="40"/>
  <c r="H38" i="35"/>
  <c r="G3" i="41"/>
  <c r="G9" i="14"/>
  <c r="BB22" i="25"/>
  <c r="BF22" i="25"/>
  <c r="BC22" i="25"/>
  <c r="E8" i="14"/>
  <c r="P8" i="16"/>
  <c r="G25" i="16" s="1"/>
  <c r="E67" i="30"/>
  <c r="AW18" i="25"/>
  <c r="Y15" i="43" s="1"/>
  <c r="Y22" i="25"/>
  <c r="X13" i="43"/>
  <c r="AI13" i="43" s="1"/>
  <c r="AE23" i="32"/>
  <c r="AE23" i="31"/>
  <c r="X8" i="43"/>
  <c r="AI8" i="43" s="1"/>
  <c r="AI7" i="43"/>
  <c r="AH6" i="43"/>
  <c r="AG6" i="43"/>
  <c r="AL42" i="43"/>
  <c r="E68" i="30"/>
  <c r="AW19" i="25"/>
  <c r="Z15" i="43" s="1"/>
  <c r="AL12" i="43"/>
  <c r="AH12" i="43"/>
  <c r="E7" i="38" s="1"/>
  <c r="C7" i="38"/>
  <c r="AG12" i="43"/>
  <c r="D7" i="38" s="1"/>
  <c r="E188" i="30"/>
  <c r="E147" i="45" s="1"/>
  <c r="E200" i="45" s="1"/>
  <c r="E69" i="30"/>
  <c r="AW20" i="25"/>
  <c r="AA15" i="43" s="1"/>
  <c r="N13" i="43"/>
  <c r="L13" i="43"/>
  <c r="M13" i="43"/>
  <c r="T13" i="43"/>
  <c r="AF13" i="43" s="1"/>
  <c r="D63" i="21"/>
  <c r="I13" i="21"/>
  <c r="I16" i="21" s="1"/>
  <c r="H138" i="30" s="1"/>
  <c r="E182" i="30"/>
  <c r="G176" i="30"/>
  <c r="I173" i="30"/>
  <c r="J132" i="45" s="1"/>
  <c r="X16" i="43"/>
  <c r="AI16" i="43" s="1"/>
  <c r="BE22" i="25"/>
  <c r="E159" i="30"/>
  <c r="I8" i="43"/>
  <c r="N7" i="43"/>
  <c r="L7" i="43"/>
  <c r="M7" i="43"/>
  <c r="T7" i="43"/>
  <c r="AF7" i="43" s="1"/>
  <c r="F7" i="38"/>
  <c r="AM12" i="43"/>
  <c r="AK12" i="43"/>
  <c r="H7" i="38" s="1"/>
  <c r="AJ12" i="43"/>
  <c r="G7" i="38" s="1"/>
  <c r="F8" i="40"/>
  <c r="AK20" i="43"/>
  <c r="H8" i="40" s="1"/>
  <c r="I52" i="35" s="1"/>
  <c r="AJ20" i="43"/>
  <c r="G8" i="40" s="1"/>
  <c r="H52" i="35" s="1"/>
  <c r="H33" i="7"/>
  <c r="X25" i="43"/>
  <c r="AI25" i="43" s="1"/>
  <c r="R25" i="43"/>
  <c r="K33" i="7"/>
  <c r="K34" i="7" s="1"/>
  <c r="AU22" i="31"/>
  <c r="N10" i="22"/>
  <c r="Q10" i="22" s="1"/>
  <c r="N26" i="22"/>
  <c r="Q26" i="22" s="1"/>
  <c r="N26" i="15"/>
  <c r="Q26" i="15" s="1"/>
  <c r="N25" i="22"/>
  <c r="Q25" i="22" s="1"/>
  <c r="N9" i="15"/>
  <c r="Q9" i="15" s="1"/>
  <c r="N25" i="15"/>
  <c r="Q25" i="15" s="1"/>
  <c r="H140" i="30"/>
  <c r="AW24" i="31"/>
  <c r="H139" i="30"/>
  <c r="I16" i="22"/>
  <c r="N16" i="22"/>
  <c r="Q16" i="22" s="1"/>
  <c r="G17" i="22"/>
  <c r="K16" i="22"/>
  <c r="J16" i="22"/>
  <c r="L10" i="15"/>
  <c r="P10" i="15" s="1"/>
  <c r="Y25" i="18"/>
  <c r="Y27" i="18"/>
  <c r="R25" i="18"/>
  <c r="P29" i="18" s="1"/>
  <c r="R27" i="18"/>
  <c r="P31" i="18" s="1"/>
  <c r="X25" i="18"/>
  <c r="G19" i="14" s="1"/>
  <c r="X27" i="18"/>
  <c r="G21" i="14" s="1"/>
  <c r="X26" i="18"/>
  <c r="G20" i="14" s="1"/>
  <c r="R26" i="18"/>
  <c r="P30" i="18" s="1"/>
  <c r="P18" i="16"/>
  <c r="G35" i="16" s="1"/>
  <c r="E35" i="16"/>
  <c r="L30" i="22"/>
  <c r="P30" i="22" s="1"/>
  <c r="L25" i="22"/>
  <c r="P25" i="22" s="1"/>
  <c r="G138" i="30"/>
  <c r="N38" i="21"/>
  <c r="E52" i="30"/>
  <c r="AM16" i="25"/>
  <c r="AM17" i="25" s="1"/>
  <c r="I14" i="43" s="1"/>
  <c r="AQ16" i="25"/>
  <c r="AE25" i="25"/>
  <c r="G8" i="14"/>
  <c r="AE24" i="25"/>
  <c r="AD22" i="25"/>
  <c r="AB22" i="25"/>
  <c r="Z22" i="25"/>
  <c r="M39" i="21"/>
  <c r="F139" i="30"/>
  <c r="AW14" i="25"/>
  <c r="V15" i="43" s="1"/>
  <c r="E63" i="30"/>
  <c r="F25" i="16"/>
  <c r="Q8" i="16"/>
  <c r="H25" i="16" s="1"/>
  <c r="N39" i="21"/>
  <c r="G139" i="30"/>
  <c r="L10" i="22"/>
  <c r="P10" i="22" s="1"/>
  <c r="L9" i="15"/>
  <c r="P9" i="15" s="1"/>
  <c r="L25" i="15"/>
  <c r="P25" i="15" s="1"/>
  <c r="G16" i="15"/>
  <c r="K14" i="15"/>
  <c r="J14" i="15"/>
  <c r="N14" i="15"/>
  <c r="Q14" i="15" s="1"/>
  <c r="I14" i="15"/>
  <c r="J32" i="22"/>
  <c r="G33" i="22"/>
  <c r="N32" i="22"/>
  <c r="Q32" i="22" s="1"/>
  <c r="I32" i="22"/>
  <c r="K32" i="22"/>
  <c r="AE24" i="32"/>
  <c r="AE25" i="32"/>
  <c r="AD22" i="32"/>
  <c r="Z22" i="32"/>
  <c r="AB22" i="32"/>
  <c r="E57" i="30"/>
  <c r="AQ21" i="25"/>
  <c r="AW21" i="25" s="1"/>
  <c r="AM21" i="25"/>
  <c r="E64" i="30"/>
  <c r="AW15" i="25"/>
  <c r="U15" i="43" s="1"/>
  <c r="F138" i="30"/>
  <c r="M38" i="21"/>
  <c r="AQ16" i="32"/>
  <c r="AW16" i="32" s="1"/>
  <c r="AW17" i="32" s="1"/>
  <c r="AM16" i="32"/>
  <c r="AM17" i="32" s="1"/>
  <c r="G140" i="30"/>
  <c r="N40" i="21"/>
  <c r="M33" i="13"/>
  <c r="C45" i="14" s="1"/>
  <c r="L26" i="22"/>
  <c r="P26" i="22" s="1"/>
  <c r="F34" i="16"/>
  <c r="Q17" i="16"/>
  <c r="H34" i="16" s="1"/>
  <c r="P17" i="16"/>
  <c r="G34" i="16" s="1"/>
  <c r="E34" i="16"/>
  <c r="F140" i="30"/>
  <c r="M40" i="21"/>
  <c r="AW13" i="25"/>
  <c r="W15" i="43" s="1"/>
  <c r="E62" i="30"/>
  <c r="G33" i="7"/>
  <c r="F33" i="7"/>
  <c r="I33" i="7"/>
  <c r="E33" i="7"/>
  <c r="D33" i="7"/>
  <c r="L13" i="15"/>
  <c r="P13" i="15" s="1"/>
  <c r="L26" i="15"/>
  <c r="P26" i="15" s="1"/>
  <c r="L9" i="22"/>
  <c r="P9" i="22" s="1"/>
  <c r="R9" i="43" l="1"/>
  <c r="AI9" i="43"/>
  <c r="AO25" i="43" s="1"/>
  <c r="B7" i="36"/>
  <c r="G7" i="36" s="1"/>
  <c r="L7" i="36" s="1"/>
  <c r="B7" i="37"/>
  <c r="J33" i="45"/>
  <c r="G135" i="45"/>
  <c r="G199" i="45" s="1"/>
  <c r="J199" i="45" s="1"/>
  <c r="L199" i="45" s="1"/>
  <c r="G183" i="45"/>
  <c r="G203" i="45" s="1"/>
  <c r="F207" i="30"/>
  <c r="J200" i="45"/>
  <c r="L200" i="45" s="1"/>
  <c r="E224" i="30"/>
  <c r="E183" i="45" s="1"/>
  <c r="E203" i="45" s="1"/>
  <c r="H63" i="21"/>
  <c r="J63" i="30"/>
  <c r="J70" i="45" s="1"/>
  <c r="E70" i="45"/>
  <c r="J52" i="30"/>
  <c r="J61" i="45" s="1"/>
  <c r="E61" i="45"/>
  <c r="I159" i="30"/>
  <c r="J118" i="45" s="1"/>
  <c r="E118" i="45"/>
  <c r="J68" i="30"/>
  <c r="J75" i="45" s="1"/>
  <c r="E75" i="45"/>
  <c r="J67" i="30"/>
  <c r="J74" i="45" s="1"/>
  <c r="E74" i="45"/>
  <c r="J62" i="30"/>
  <c r="J69" i="45" s="1"/>
  <c r="E69" i="45"/>
  <c r="J57" i="30"/>
  <c r="E66" i="45"/>
  <c r="E191" i="45" s="1"/>
  <c r="J191" i="45" s="1"/>
  <c r="J69" i="30"/>
  <c r="J76" i="45" s="1"/>
  <c r="E76" i="45"/>
  <c r="E29" i="16"/>
  <c r="P12" i="16"/>
  <c r="G29" i="16" s="1"/>
  <c r="J64" i="30"/>
  <c r="J71" i="45" s="1"/>
  <c r="E71" i="45"/>
  <c r="L13" i="16"/>
  <c r="L190" i="45"/>
  <c r="N190" i="45"/>
  <c r="B4" i="37"/>
  <c r="B4" i="36"/>
  <c r="J55" i="45"/>
  <c r="I176" i="30"/>
  <c r="J135" i="45" s="1"/>
  <c r="G182" i="30"/>
  <c r="G141" i="45" s="1"/>
  <c r="E141" i="45"/>
  <c r="AK6" i="43"/>
  <c r="AJ6" i="43"/>
  <c r="AK22" i="32"/>
  <c r="AM25" i="32"/>
  <c r="I43" i="35"/>
  <c r="I11" i="35"/>
  <c r="F11" i="35"/>
  <c r="F43" i="35"/>
  <c r="AK7" i="43"/>
  <c r="AJ7" i="43"/>
  <c r="L14" i="43"/>
  <c r="N14" i="43"/>
  <c r="M14" i="43"/>
  <c r="T14" i="43"/>
  <c r="AF14" i="43" s="1"/>
  <c r="F15" i="38"/>
  <c r="G19" i="35" s="1"/>
  <c r="H19" i="35" s="1"/>
  <c r="G11" i="35"/>
  <c r="G43" i="35"/>
  <c r="AO16" i="43"/>
  <c r="AJ16" i="43"/>
  <c r="G11" i="38" s="1"/>
  <c r="F11" i="38"/>
  <c r="AK16" i="43"/>
  <c r="H11" i="38" s="1"/>
  <c r="AH13" i="43"/>
  <c r="AG13" i="43"/>
  <c r="AL13" i="43"/>
  <c r="E43" i="35"/>
  <c r="E11" i="35"/>
  <c r="AM13" i="43"/>
  <c r="AK13" i="43"/>
  <c r="AJ13" i="43"/>
  <c r="E183" i="30"/>
  <c r="AK8" i="43"/>
  <c r="AJ8" i="43"/>
  <c r="X14" i="43"/>
  <c r="AI14" i="43" s="1"/>
  <c r="AM25" i="25"/>
  <c r="AM23" i="25"/>
  <c r="AI22" i="25"/>
  <c r="AK22" i="25"/>
  <c r="AM23" i="32"/>
  <c r="AN23" i="31"/>
  <c r="X15" i="43"/>
  <c r="AI15" i="43" s="1"/>
  <c r="AW25" i="25"/>
  <c r="AW24" i="25"/>
  <c r="AW23" i="32"/>
  <c r="AU22" i="25"/>
  <c r="H11" i="35"/>
  <c r="H43" i="35"/>
  <c r="AG7" i="43"/>
  <c r="AH7" i="43"/>
  <c r="L8" i="43"/>
  <c r="T8" i="43"/>
  <c r="AF8" i="43" s="1"/>
  <c r="N8" i="43"/>
  <c r="M8" i="43"/>
  <c r="D43" i="35"/>
  <c r="C15" i="38"/>
  <c r="D19" i="35" s="1"/>
  <c r="E19" i="35" s="1"/>
  <c r="D11" i="35"/>
  <c r="C23" i="38"/>
  <c r="D27" i="35" s="1"/>
  <c r="E27" i="35" s="1"/>
  <c r="AW23" i="31"/>
  <c r="AH22" i="25"/>
  <c r="G52" i="35"/>
  <c r="F13" i="40"/>
  <c r="AK25" i="43"/>
  <c r="H13" i="40" s="1"/>
  <c r="I57" i="35" s="1"/>
  <c r="AJ25" i="43"/>
  <c r="G13" i="40" s="1"/>
  <c r="H57" i="35" s="1"/>
  <c r="AQ22" i="31"/>
  <c r="AW25" i="31"/>
  <c r="AV22" i="31"/>
  <c r="AS22" i="31"/>
  <c r="R38" i="21"/>
  <c r="AR22" i="31"/>
  <c r="L32" i="22"/>
  <c r="P32" i="22" s="1"/>
  <c r="N30" i="15"/>
  <c r="Q30" i="15" s="1"/>
  <c r="N14" i="22"/>
  <c r="Q14" i="22" s="1"/>
  <c r="N30" i="22"/>
  <c r="Q30" i="22" s="1"/>
  <c r="N28" i="15"/>
  <c r="Q28" i="15" s="1"/>
  <c r="N12" i="22"/>
  <c r="Q12" i="22" s="1"/>
  <c r="N28" i="22"/>
  <c r="Q28" i="22" s="1"/>
  <c r="N12" i="15"/>
  <c r="Q12" i="15" s="1"/>
  <c r="K17" i="22"/>
  <c r="J17" i="22"/>
  <c r="I17" i="22"/>
  <c r="N17" i="22"/>
  <c r="Q17" i="22" s="1"/>
  <c r="N29" i="15"/>
  <c r="Q29" i="15" s="1"/>
  <c r="N13" i="22"/>
  <c r="Q13" i="22" s="1"/>
  <c r="N29" i="22"/>
  <c r="Q29" i="22" s="1"/>
  <c r="N13" i="15"/>
  <c r="Q13" i="15" s="1"/>
  <c r="L16" i="22"/>
  <c r="P16" i="22" s="1"/>
  <c r="E70" i="30"/>
  <c r="AQ22" i="25"/>
  <c r="I33" i="22"/>
  <c r="N33" i="22"/>
  <c r="Q33" i="22" s="1"/>
  <c r="J33" i="22"/>
  <c r="K33" i="22"/>
  <c r="AL22" i="32"/>
  <c r="AM24" i="32"/>
  <c r="AI22" i="32"/>
  <c r="AQ22" i="32"/>
  <c r="E65" i="30"/>
  <c r="AW16" i="25"/>
  <c r="AW17" i="25" s="1"/>
  <c r="I15" i="43" s="1"/>
  <c r="AM24" i="25"/>
  <c r="AL22" i="25"/>
  <c r="J16" i="15"/>
  <c r="G17" i="15"/>
  <c r="I16" i="15"/>
  <c r="N16" i="15"/>
  <c r="Q16" i="15" s="1"/>
  <c r="K16" i="15"/>
  <c r="L14" i="15"/>
  <c r="P14" i="15" s="1"/>
  <c r="AH22" i="32"/>
  <c r="G7" i="37" l="1"/>
  <c r="L7" i="37" s="1"/>
  <c r="B9" i="37"/>
  <c r="B10" i="37" s="1"/>
  <c r="AO19" i="43"/>
  <c r="AJ9" i="43"/>
  <c r="F4" i="39"/>
  <c r="AO69" i="43"/>
  <c r="AO62" i="43"/>
  <c r="AO70" i="43"/>
  <c r="AO60" i="43"/>
  <c r="F4" i="41"/>
  <c r="AO67" i="43"/>
  <c r="AO26" i="43"/>
  <c r="AO63" i="43"/>
  <c r="AO64" i="43"/>
  <c r="AO20" i="43"/>
  <c r="F4" i="40"/>
  <c r="G23" i="40" s="1"/>
  <c r="AO24" i="43"/>
  <c r="AO68" i="43"/>
  <c r="AM35" i="43"/>
  <c r="AM36" i="43"/>
  <c r="AO65" i="43"/>
  <c r="AK9" i="43"/>
  <c r="AO61" i="43"/>
  <c r="F4" i="38"/>
  <c r="F19" i="38" s="1"/>
  <c r="G23" i="35" s="1"/>
  <c r="H23" i="35" s="1"/>
  <c r="G39" i="35"/>
  <c r="AO21" i="43"/>
  <c r="AM37" i="43"/>
  <c r="AO71" i="43"/>
  <c r="F166" i="45"/>
  <c r="I207" i="30"/>
  <c r="J166" i="45" s="1"/>
  <c r="I224" i="30"/>
  <c r="J183" i="45" s="1"/>
  <c r="J203" i="45" s="1"/>
  <c r="L203" i="45" s="1"/>
  <c r="E219" i="30"/>
  <c r="J70" i="30"/>
  <c r="E77" i="45"/>
  <c r="E192" i="45" s="1"/>
  <c r="J192" i="45" s="1"/>
  <c r="J65" i="30"/>
  <c r="J72" i="45" s="1"/>
  <c r="E72" i="45"/>
  <c r="L191" i="45"/>
  <c r="N191" i="45"/>
  <c r="P13" i="16"/>
  <c r="G30" i="16" s="1"/>
  <c r="E30" i="16"/>
  <c r="B5" i="36"/>
  <c r="B5" i="37"/>
  <c r="J66" i="45"/>
  <c r="G183" i="30"/>
  <c r="G142" i="45" s="1"/>
  <c r="E142" i="45"/>
  <c r="AH8" i="43"/>
  <c r="AG8" i="43"/>
  <c r="H44" i="35"/>
  <c r="H12" i="35"/>
  <c r="C24" i="38"/>
  <c r="D28" i="35" s="1"/>
  <c r="E28" i="35" s="1"/>
  <c r="D44" i="35"/>
  <c r="C16" i="38"/>
  <c r="D20" i="35" s="1"/>
  <c r="E20" i="35" s="1"/>
  <c r="D12" i="35"/>
  <c r="AK14" i="43"/>
  <c r="AJ14" i="43"/>
  <c r="AM14" i="43"/>
  <c r="G4" i="36"/>
  <c r="E4" i="36"/>
  <c r="I12" i="35"/>
  <c r="I44" i="35"/>
  <c r="I47" i="35"/>
  <c r="I15" i="35"/>
  <c r="AH14" i="43"/>
  <c r="AG14" i="43"/>
  <c r="AL14" i="43"/>
  <c r="AJ15" i="43"/>
  <c r="AM15" i="43"/>
  <c r="AK15" i="43"/>
  <c r="E4" i="37"/>
  <c r="G4" i="37"/>
  <c r="E44" i="35"/>
  <c r="E12" i="35"/>
  <c r="G15" i="35"/>
  <c r="G47" i="35"/>
  <c r="L15" i="43"/>
  <c r="T15" i="43"/>
  <c r="AF15" i="43" s="1"/>
  <c r="N15" i="43"/>
  <c r="M15" i="43"/>
  <c r="F16" i="38"/>
  <c r="G20" i="35" s="1"/>
  <c r="H20" i="35" s="1"/>
  <c r="G12" i="35"/>
  <c r="G44" i="35"/>
  <c r="F44" i="35"/>
  <c r="F12" i="35"/>
  <c r="H47" i="35"/>
  <c r="H15" i="35"/>
  <c r="G57" i="35"/>
  <c r="L16" i="15"/>
  <c r="P16" i="15" s="1"/>
  <c r="L33" i="22"/>
  <c r="P33" i="22" s="1"/>
  <c r="L17" i="22"/>
  <c r="P17" i="22" s="1"/>
  <c r="AW25" i="32"/>
  <c r="AW24" i="32"/>
  <c r="AV22" i="32"/>
  <c r="AS22" i="32"/>
  <c r="AR22" i="32"/>
  <c r="N17" i="15"/>
  <c r="Q17" i="15" s="1"/>
  <c r="J17" i="15"/>
  <c r="I17" i="15"/>
  <c r="K17" i="15"/>
  <c r="AV22" i="25"/>
  <c r="AR22" i="25"/>
  <c r="AS22" i="25"/>
  <c r="F27" i="38" l="1"/>
  <c r="G31" i="35" s="1"/>
  <c r="H31" i="35" s="1"/>
  <c r="E178" i="45"/>
  <c r="I219" i="30"/>
  <c r="J178" i="45" s="1"/>
  <c r="G8" i="35"/>
  <c r="F22" i="38"/>
  <c r="G26" i="35" s="1"/>
  <c r="H26" i="35" s="1"/>
  <c r="F23" i="38"/>
  <c r="G27" i="35" s="1"/>
  <c r="H27" i="35" s="1"/>
  <c r="F24" i="38"/>
  <c r="G28" i="35" s="1"/>
  <c r="H28" i="35" s="1"/>
  <c r="G17" i="40"/>
  <c r="G24" i="40"/>
  <c r="G19" i="40"/>
  <c r="G18" i="40"/>
  <c r="G22" i="40"/>
  <c r="G4" i="39"/>
  <c r="H39" i="35"/>
  <c r="G4" i="40"/>
  <c r="G4" i="38"/>
  <c r="H8" i="35" s="1"/>
  <c r="G4" i="41"/>
  <c r="H4" i="38"/>
  <c r="I8" i="35" s="1"/>
  <c r="H4" i="41"/>
  <c r="I39" i="35"/>
  <c r="H4" i="39"/>
  <c r="H4" i="40"/>
  <c r="G24" i="39"/>
  <c r="G20" i="39"/>
  <c r="G23" i="39"/>
  <c r="G25" i="39"/>
  <c r="E212" i="30"/>
  <c r="F212" i="30"/>
  <c r="F171" i="45" s="1"/>
  <c r="F202" i="45" s="1"/>
  <c r="L192" i="45"/>
  <c r="N192" i="45"/>
  <c r="B6" i="37"/>
  <c r="B6" i="36"/>
  <c r="J77" i="45"/>
  <c r="E45" i="35"/>
  <c r="E13" i="35"/>
  <c r="E5" i="37"/>
  <c r="G5" i="37"/>
  <c r="H14" i="35"/>
  <c r="H46" i="35"/>
  <c r="H45" i="35"/>
  <c r="H13" i="35"/>
  <c r="AG15" i="43"/>
  <c r="AH15" i="43"/>
  <c r="AL15" i="43"/>
  <c r="L4" i="37"/>
  <c r="O4" i="37" s="1"/>
  <c r="J4" i="37"/>
  <c r="F26" i="38"/>
  <c r="G30" i="35" s="1"/>
  <c r="H30" i="35" s="1"/>
  <c r="F18" i="38"/>
  <c r="G22" i="35" s="1"/>
  <c r="H22" i="35" s="1"/>
  <c r="G46" i="35"/>
  <c r="G14" i="35"/>
  <c r="F13" i="35"/>
  <c r="F45" i="35"/>
  <c r="G5" i="36"/>
  <c r="E5" i="36"/>
  <c r="I14" i="35"/>
  <c r="I46" i="35"/>
  <c r="F25" i="38"/>
  <c r="G29" i="35" s="1"/>
  <c r="H29" i="35" s="1"/>
  <c r="F17" i="38"/>
  <c r="G21" i="35" s="1"/>
  <c r="H21" i="35" s="1"/>
  <c r="G13" i="35"/>
  <c r="G45" i="35"/>
  <c r="D45" i="35"/>
  <c r="D13" i="35"/>
  <c r="C25" i="38"/>
  <c r="D29" i="35" s="1"/>
  <c r="E29" i="35" s="1"/>
  <c r="C17" i="38"/>
  <c r="D21" i="35" s="1"/>
  <c r="E21" i="35" s="1"/>
  <c r="J4" i="36"/>
  <c r="L4" i="36"/>
  <c r="O4" i="36" s="1"/>
  <c r="I45" i="35"/>
  <c r="I13" i="35"/>
  <c r="L17" i="15"/>
  <c r="P17" i="15" s="1"/>
  <c r="I212" i="30" l="1"/>
  <c r="J171" i="45" s="1"/>
  <c r="J202" i="45" s="1"/>
  <c r="L202" i="45" s="1"/>
  <c r="E171" i="45"/>
  <c r="E202" i="45" s="1"/>
  <c r="L5" i="37"/>
  <c r="O5" i="37" s="1"/>
  <c r="J5" i="37"/>
  <c r="F14" i="35"/>
  <c r="F46" i="35"/>
  <c r="G6" i="36"/>
  <c r="E6" i="36"/>
  <c r="C18" i="38"/>
  <c r="D22" i="35" s="1"/>
  <c r="E22" i="35" s="1"/>
  <c r="C26" i="38"/>
  <c r="D30" i="35" s="1"/>
  <c r="E30" i="35" s="1"/>
  <c r="D14" i="35"/>
  <c r="D46" i="35"/>
  <c r="G6" i="37"/>
  <c r="E6" i="37"/>
  <c r="L5" i="36"/>
  <c r="O5" i="36" s="1"/>
  <c r="J5" i="36"/>
  <c r="E46" i="35"/>
  <c r="E14" i="35"/>
  <c r="L6" i="37" l="1"/>
  <c r="O6" i="37" s="1"/>
  <c r="J6" i="37"/>
  <c r="J6" i="36"/>
  <c r="L6" i="36"/>
  <c r="O6" i="36" s="1"/>
  <c r="G4" i="45"/>
</calcChain>
</file>

<file path=xl/comments1.xml><?xml version="1.0" encoding="utf-8"?>
<comments xmlns="http://schemas.openxmlformats.org/spreadsheetml/2006/main">
  <authors>
    <author>ou xunmin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ou xunmin:</t>
        </r>
        <r>
          <rPr>
            <sz val="9"/>
            <color indexed="81"/>
            <rFont val="宋体"/>
            <family val="3"/>
            <charset val="134"/>
          </rPr>
          <t xml:space="preserve">
如何计入充电损失，用能效率酌减10%到20%</t>
        </r>
      </text>
    </comment>
  </commentList>
</comments>
</file>

<file path=xl/comments10.xml><?xml version="1.0" encoding="utf-8"?>
<comments xmlns="http://schemas.openxmlformats.org/spreadsheetml/2006/main">
  <authors>
    <author>Ouxm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shoba</t>
        </r>
        <r>
          <rPr>
            <sz val="9"/>
            <color indexed="81"/>
            <rFont val="宋体"/>
            <family val="3"/>
            <charset val="134"/>
          </rPr>
          <t>平均效率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</commentList>
</comments>
</file>

<file path=xl/comments11.xml><?xml version="1.0" encoding="utf-8"?>
<comments xmlns="http://schemas.openxmlformats.org/spreadsheetml/2006/main">
  <authors>
    <author>Ouxm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Shoba</t>
        </r>
        <r>
          <rPr>
            <sz val="9"/>
            <color indexed="81"/>
            <rFont val="宋体"/>
            <family val="3"/>
            <charset val="134"/>
          </rPr>
          <t>认为没有变化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捕获率</t>
        </r>
        <r>
          <rPr>
            <sz val="9"/>
            <color indexed="81"/>
            <rFont val="Tahoma"/>
            <family val="2"/>
          </rPr>
          <t xml:space="preserve">74%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没有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时候，消耗的煤炭的</t>
        </r>
        <r>
          <rPr>
            <sz val="9"/>
            <color indexed="81"/>
            <rFont val="Tahoma"/>
            <family val="2"/>
          </rPr>
          <t>LCA</t>
        </r>
        <r>
          <rPr>
            <sz val="9"/>
            <color indexed="81"/>
            <rFont val="宋体"/>
            <family val="3"/>
            <charset val="134"/>
          </rPr>
          <t>碳排放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捕获率</t>
        </r>
        <r>
          <rPr>
            <sz val="9"/>
            <color indexed="81"/>
            <rFont val="Tahoma"/>
            <family val="2"/>
          </rPr>
          <t xml:space="preserve">74%
</t>
        </r>
      </text>
    </comment>
  </commentList>
</comments>
</file>

<file path=xl/comments12.xml><?xml version="1.0" encoding="utf-8"?>
<comments xmlns="http://schemas.openxmlformats.org/spreadsheetml/2006/main">
  <authors>
    <author>Ouxm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10kW (peak battery power)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20 kW (peak battery power)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</commentList>
</comments>
</file>

<file path=xl/comments13.xml><?xml version="1.0" encoding="utf-8"?>
<comments xmlns="http://schemas.openxmlformats.org/spreadsheetml/2006/main">
  <authors>
    <author>Ouxm</author>
  </authors>
  <commentList>
    <comment ref="K2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assumed by OU
</t>
        </r>
      </text>
    </comment>
  </commentList>
</comments>
</file>

<file path=xl/comments14.xml><?xml version="1.0" encoding="utf-8"?>
<comments xmlns="http://schemas.openxmlformats.org/spreadsheetml/2006/main">
  <authors>
    <author>Ouxm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折合能源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100kg~1kWp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假设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</commentList>
</comments>
</file>

<file path=xl/comments2.xml><?xml version="1.0" encoding="utf-8"?>
<comments xmlns="http://schemas.openxmlformats.org/spreadsheetml/2006/main">
  <authors>
    <author>Ouxm</author>
    <author>ouxm</author>
    <author>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m3 for CNG; KWh for EV.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If you change this parameter, all the other values in column F and G will be changed correspondingly.</t>
        </r>
      </text>
    </comment>
    <comment ref="C4" authorId="1" shapeId="0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concave P 19:汽油1.9MJ/km;柴油1.72MJ/km</t>
        </r>
      </text>
    </comment>
    <comment ref="B5" authorId="1" shapeId="0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综合concave和greet结果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m3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C6" authorId="1" shapeId="0">
      <text/>
    </comment>
    <comment ref="B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行驶效率来源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充电损失未考虑，</t>
        </r>
        <r>
          <rPr>
            <sz val="9"/>
            <color indexed="81"/>
            <rFont val="Tahoma"/>
            <family val="2"/>
          </rPr>
          <t>10%</t>
        </r>
        <r>
          <rPr>
            <sz val="9"/>
            <color indexed="81"/>
            <rFont val="宋体"/>
            <family val="3"/>
            <charset val="134"/>
          </rPr>
          <t>甚至更多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  <comment ref="A138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宋体"/>
            <family val="3"/>
            <charset val="134"/>
          </rPr>
          <t xml:space="preserve">增加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分地区电动汽车表项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150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宋体"/>
            <family val="3"/>
            <charset val="134"/>
          </rPr>
          <t xml:space="preserve">增加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分地区电动汽车表项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162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宋体"/>
            <family val="3"/>
            <charset val="134"/>
          </rPr>
          <t xml:space="preserve">增加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分地区电动汽车表项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174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宋体"/>
            <family val="3"/>
            <charset val="134"/>
          </rPr>
          <t xml:space="preserve">增加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分地区电动汽车表项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ou xunmin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这章的开采等环节算法与</t>
        </r>
        <r>
          <rPr>
            <sz val="9"/>
            <color indexed="81"/>
            <rFont val="Tahoma"/>
            <family val="2"/>
          </rPr>
          <t>LC SE</t>
        </r>
        <r>
          <rPr>
            <sz val="9"/>
            <color indexed="81"/>
            <rFont val="宋体"/>
            <family val="3"/>
            <charset val="134"/>
          </rPr>
          <t>中定义的不一样，与</t>
        </r>
        <r>
          <rPr>
            <sz val="9"/>
            <color indexed="81"/>
            <rFont val="Tahoma"/>
            <family val="2"/>
          </rPr>
          <t>oilbased</t>
        </r>
        <r>
          <rPr>
            <sz val="9"/>
            <color indexed="81"/>
            <rFont val="宋体"/>
            <family val="3"/>
            <charset val="134"/>
          </rPr>
          <t>也不一致，到底以何为准？</t>
        </r>
      </text>
    </comment>
    <comment ref="BF18" authorId="1" shapeId="0">
      <text>
        <r>
          <rPr>
            <b/>
            <sz val="9"/>
            <color indexed="81"/>
            <rFont val="宋体"/>
            <family val="3"/>
            <charset val="134"/>
          </rPr>
          <t>ou xunmin:</t>
        </r>
        <r>
          <rPr>
            <sz val="9"/>
            <color indexed="81"/>
            <rFont val="宋体"/>
            <family val="3"/>
            <charset val="134"/>
          </rPr>
          <t xml:space="preserve">
1MJ GTL 燃烧直接排放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这公式里最后</t>
        </r>
        <r>
          <rPr>
            <sz val="9"/>
            <color indexed="81"/>
            <rFont val="Tahoma"/>
            <family val="2"/>
          </rPr>
          <t>+72/D5*F5</t>
        </r>
        <r>
          <rPr>
            <sz val="9"/>
            <color indexed="81"/>
            <rFont val="宋体"/>
            <family val="3"/>
            <charset val="134"/>
          </rPr>
          <t>是啥意思：
逸散！</t>
        </r>
      </text>
    </comment>
  </commentList>
</comments>
</file>

<file path=xl/comments4.xml><?xml version="1.0" encoding="utf-8"?>
<comments xmlns="http://schemas.openxmlformats.org/spreadsheetml/2006/main">
  <authors>
    <author>Ouxm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Shell</t>
        </r>
        <r>
          <rPr>
            <sz val="9"/>
            <color indexed="81"/>
            <rFont val="宋体"/>
            <family val="3"/>
            <charset val="134"/>
          </rPr>
          <t>提供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xie 2011 (</t>
        </r>
        <r>
          <rPr>
            <sz val="9"/>
            <color indexed="81"/>
            <rFont val="宋体"/>
            <family val="3"/>
            <charset val="134"/>
          </rPr>
          <t>低值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Ouxm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Shell</t>
        </r>
        <r>
          <rPr>
            <sz val="9"/>
            <color indexed="81"/>
            <rFont val="宋体"/>
            <family val="3"/>
            <charset val="134"/>
          </rPr>
          <t>提供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欧训民假设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注意：电不是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电。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压缩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吨耗</t>
        </r>
        <r>
          <rPr>
            <sz val="9"/>
            <color indexed="81"/>
            <rFont val="Tahoma"/>
            <family val="2"/>
          </rPr>
          <t>140</t>
        </r>
        <r>
          <rPr>
            <sz val="9"/>
            <color indexed="81"/>
            <rFont val="宋体"/>
            <family val="3"/>
            <charset val="134"/>
          </rPr>
          <t>度电，但是是内部提供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注意：电不是</t>
        </r>
        <r>
          <rPr>
            <sz val="9"/>
            <color indexed="81"/>
            <rFont val="Tahoma"/>
            <family val="2"/>
          </rPr>
          <t>CCS</t>
        </r>
        <r>
          <rPr>
            <sz val="9"/>
            <color indexed="81"/>
            <rFont val="宋体"/>
            <family val="3"/>
            <charset val="134"/>
          </rPr>
          <t>电。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Ouxm:
</t>
        </r>
        <r>
          <rPr>
            <sz val="9"/>
            <color indexed="81"/>
            <rFont val="宋体"/>
            <family val="3"/>
            <charset val="134"/>
          </rPr>
          <t>压缩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吨耗</t>
        </r>
        <r>
          <rPr>
            <sz val="9"/>
            <color indexed="81"/>
            <rFont val="Tahoma"/>
            <family val="2"/>
          </rPr>
          <t>140</t>
        </r>
        <r>
          <rPr>
            <sz val="9"/>
            <color indexed="81"/>
            <rFont val="宋体"/>
            <family val="3"/>
            <charset val="134"/>
          </rPr>
          <t>度电</t>
        </r>
      </text>
    </comment>
  </commentList>
</comments>
</file>

<file path=xl/comments6.xml><?xml version="1.0" encoding="utf-8"?>
<comments xmlns="http://schemas.openxmlformats.org/spreadsheetml/2006/main">
  <authors>
    <author>user</author>
    <author>ouxm</author>
    <author>作者</author>
  </authors>
  <commentList>
    <comment ref="H1" authorId="0" shapeId="0">
      <text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宋体"/>
            <family val="3"/>
            <charset val="134"/>
          </rPr>
          <t>这章的两个原始数据表，其中的数据来源具体是哪里？这个对于整个报告的可靠性非常关键，报告和模型中都未体现，请提供依据。</t>
        </r>
      </text>
    </comment>
    <comment ref="AF1" authorId="1" shapeId="0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2010年测算的2007版本数值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数据来源？</t>
        </r>
      </text>
    </comment>
    <comment ref="AC8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在汽车中使用时为0.002；其他用途时为0.028</t>
        </r>
      </text>
    </comment>
    <comment ref="S11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09年线损率为6.72%；
2010：:6.53%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不同电力种类比例</t>
        </r>
      </text>
    </comment>
  </commentList>
</comments>
</file>

<file path=xl/comments7.xml><?xml version="1.0" encoding="utf-8"?>
<comments xmlns="http://schemas.openxmlformats.org/spreadsheetml/2006/main">
  <authors>
    <author>ouxm</author>
  </authors>
  <commentList>
    <comment ref="B15" authorId="0" shapeId="0">
      <text/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ouxm:
程昊反映：1吨LNG相当于0.9吨柴油。测算为气油比126:100</t>
        </r>
      </text>
    </comment>
  </commentList>
</comments>
</file>

<file path=xl/comments8.xml><?xml version="1.0" encoding="utf-8"?>
<comments xmlns="http://schemas.openxmlformats.org/spreadsheetml/2006/main">
  <authors>
    <author>Ouxm</author>
    <author>ouxm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m3 for CNG; KWh for EV.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If you change this parameter, all the other values in column F and G will be changed correspondingly.</t>
        </r>
      </text>
    </comment>
    <comment ref="C4" authorId="1" shapeId="0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综合concave和greet结果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m3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D5" authorId="1" shapeId="0">
      <text/>
    </comment>
    <comment ref="D17" authorId="1" shapeId="0">
      <text>
        <r>
          <rPr>
            <b/>
            <sz val="9"/>
            <color indexed="81"/>
            <rFont val="宋体"/>
            <family val="3"/>
            <charset val="134"/>
          </rPr>
          <t>ouxm:</t>
        </r>
        <r>
          <rPr>
            <sz val="9"/>
            <color indexed="81"/>
            <rFont val="宋体"/>
            <family val="3"/>
            <charset val="134"/>
          </rPr>
          <t xml:space="preserve">
concave P 19:汽油1.9MJ/km;柴油1.72MJ/km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kwh</t>
        </r>
      </text>
    </comment>
  </commentList>
</comments>
</file>

<file path=xl/comments9.xml><?xml version="1.0" encoding="utf-8"?>
<comments xmlns="http://schemas.openxmlformats.org/spreadsheetml/2006/main">
  <authors>
    <author>Ouxm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</rPr>
          <t>Ouxm: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现状：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升车</t>
        </r>
      </text>
    </comment>
  </commentList>
</comments>
</file>

<file path=xl/sharedStrings.xml><?xml version="1.0" encoding="utf-8"?>
<sst xmlns="http://schemas.openxmlformats.org/spreadsheetml/2006/main" count="2729" uniqueCount="1120">
  <si>
    <t>PF</t>
  </si>
  <si>
    <t>PE: coal</t>
  </si>
  <si>
    <t>PE: NG</t>
  </si>
  <si>
    <t>PE: oil</t>
  </si>
  <si>
    <t>MJ/MJ</t>
  </si>
  <si>
    <t>Diesel</t>
  </si>
  <si>
    <t>Gasoline</t>
  </si>
  <si>
    <t>Residual oil</t>
  </si>
  <si>
    <t>Electricity</t>
  </si>
  <si>
    <t>g/MJ</t>
  </si>
  <si>
    <t>mg/MJ</t>
  </si>
  <si>
    <t>-</t>
  </si>
  <si>
    <t>Pathway</t>
  </si>
  <si>
    <t>Time</t>
  </si>
  <si>
    <t>/%</t>
  </si>
  <si>
    <t>Note</t>
  </si>
  <si>
    <t>Current</t>
  </si>
  <si>
    <t>Process fuel</t>
  </si>
  <si>
    <t>Table 6 Basic parameters of coal-based electricity pathways</t>
  </si>
  <si>
    <t>Unit size/MW</t>
  </si>
  <si>
    <t xml:space="preserve"> / %</t>
  </si>
  <si>
    <t>USC</t>
  </si>
  <si>
    <t>IGCC</t>
  </si>
  <si>
    <t>300~600</t>
  </si>
  <si>
    <t>plant</t>
  </si>
  <si>
    <t>coal</t>
  </si>
  <si>
    <t>coal</t>
    <phoneticPr fontId="9" type="noConversion"/>
  </si>
  <si>
    <t>electricity</t>
  </si>
  <si>
    <t>electricity</t>
    <phoneticPr fontId="9" type="noConversion"/>
  </si>
  <si>
    <t>transport</t>
  </si>
  <si>
    <t>diesel</t>
    <phoneticPr fontId="9" type="noConversion"/>
  </si>
  <si>
    <t>gasoline</t>
    <phoneticPr fontId="9" type="noConversion"/>
  </si>
  <si>
    <t>residual oil</t>
    <phoneticPr fontId="9" type="noConversion"/>
  </si>
  <si>
    <t>lc NG</t>
  </si>
  <si>
    <t>lc NG</t>
    <phoneticPr fontId="9" type="noConversion"/>
  </si>
  <si>
    <t>Lc Petroluem</t>
  </si>
  <si>
    <t>Lc Petroluem</t>
    <phoneticPr fontId="9" type="noConversion"/>
  </si>
  <si>
    <t>CO2</t>
    <phoneticPr fontId="9" type="noConversion"/>
  </si>
  <si>
    <t>LC CO2</t>
  </si>
  <si>
    <t>LC CO2</t>
    <phoneticPr fontId="9" type="noConversion"/>
  </si>
  <si>
    <t>CH4</t>
    <phoneticPr fontId="9" type="noConversion"/>
  </si>
  <si>
    <t>N2O</t>
    <phoneticPr fontId="9" type="noConversion"/>
  </si>
  <si>
    <t>LC CH4</t>
  </si>
  <si>
    <t>LC CH4</t>
    <phoneticPr fontId="9" type="noConversion"/>
  </si>
  <si>
    <t>LC N2O</t>
  </si>
  <si>
    <t>LC N2O</t>
    <phoneticPr fontId="9" type="noConversion"/>
  </si>
  <si>
    <t>kj</t>
    <phoneticPr fontId="9" type="noConversion"/>
  </si>
  <si>
    <t>Mj</t>
  </si>
  <si>
    <t>Mj</t>
    <phoneticPr fontId="9" type="noConversion"/>
  </si>
  <si>
    <t>g</t>
  </si>
  <si>
    <t>g</t>
    <phoneticPr fontId="9" type="noConversion"/>
  </si>
  <si>
    <t>mg</t>
  </si>
  <si>
    <t>mg</t>
    <phoneticPr fontId="9" type="noConversion"/>
  </si>
  <si>
    <t>LC GHG</t>
  </si>
  <si>
    <t>LC GHG</t>
    <phoneticPr fontId="9" type="noConversion"/>
  </si>
  <si>
    <t xml:space="preserve">The average loss rate during transmission was </t>
    <phoneticPr fontId="9" type="noConversion"/>
  </si>
  <si>
    <t>in 2020</t>
    <phoneticPr fontId="9" type="noConversion"/>
  </si>
  <si>
    <t xml:space="preserve"> and predicted to reduce to</t>
    <phoneticPr fontId="9" type="noConversion"/>
  </si>
  <si>
    <r>
      <t>in 2008 (</t>
    </r>
    <r>
      <rPr>
        <sz val="10.5"/>
        <color indexed="10"/>
        <rFont val="Times New Roman"/>
        <family val="1"/>
      </rPr>
      <t>Zhang, 2009</t>
    </r>
    <r>
      <rPr>
        <sz val="10.5"/>
        <color indexed="8"/>
        <rFont val="Times New Roman"/>
        <family val="1"/>
      </rPr>
      <t>)</t>
    </r>
    <phoneticPr fontId="9" type="noConversion"/>
  </si>
  <si>
    <t>EN</t>
    <phoneticPr fontId="9" type="noConversion"/>
  </si>
  <si>
    <t>LC Coal</t>
  </si>
  <si>
    <t>LC Coal</t>
    <phoneticPr fontId="9" type="noConversion"/>
  </si>
  <si>
    <t>BEV</t>
    <phoneticPr fontId="9" type="noConversion"/>
  </si>
  <si>
    <t>liter/100km</t>
    <phoneticPr fontId="9" type="noConversion"/>
  </si>
  <si>
    <t>kWh/100km</t>
    <phoneticPr fontId="9" type="noConversion"/>
  </si>
  <si>
    <t xml:space="preserve">equal to </t>
    <phoneticPr fontId="9" type="noConversion"/>
  </si>
  <si>
    <t>MJ/km</t>
    <phoneticPr fontId="9" type="noConversion"/>
  </si>
  <si>
    <t>IGCC+CCS</t>
    <phoneticPr fontId="9" type="noConversion"/>
  </si>
  <si>
    <t>加入CCS</t>
    <phoneticPr fontId="9" type="noConversion"/>
  </si>
  <si>
    <t>含在燃料中</t>
    <phoneticPr fontId="9" type="noConversion"/>
  </si>
  <si>
    <t>工厂生产</t>
    <phoneticPr fontId="9" type="noConversion"/>
  </si>
  <si>
    <t>被捕获</t>
    <phoneticPr fontId="9" type="noConversion"/>
  </si>
  <si>
    <t>耗电</t>
    <phoneticPr fontId="9" type="noConversion"/>
  </si>
  <si>
    <t>kJ</t>
    <phoneticPr fontId="9" type="noConversion"/>
  </si>
  <si>
    <t>LC EC</t>
    <phoneticPr fontId="9" type="noConversion"/>
  </si>
  <si>
    <t>coal</t>
    <phoneticPr fontId="9" type="noConversion"/>
  </si>
  <si>
    <t>NG</t>
    <phoneticPr fontId="9" type="noConversion"/>
  </si>
  <si>
    <t>百分比</t>
    <phoneticPr fontId="9" type="noConversion"/>
  </si>
  <si>
    <t>Petroleum</t>
    <phoneticPr fontId="9" type="noConversion"/>
  </si>
  <si>
    <t>Direct CtL</t>
    <phoneticPr fontId="9" type="noConversion"/>
  </si>
  <si>
    <t>best</t>
    <phoneticPr fontId="9" type="noConversion"/>
  </si>
  <si>
    <t>worst</t>
    <phoneticPr fontId="9" type="noConversion"/>
  </si>
  <si>
    <t>USC+CCS</t>
    <phoneticPr fontId="9" type="noConversion"/>
  </si>
  <si>
    <t>USC+CCS</t>
    <phoneticPr fontId="9" type="noConversion"/>
  </si>
  <si>
    <t>%</t>
    <phoneticPr fontId="9" type="noConversion"/>
  </si>
  <si>
    <t>倒数</t>
    <phoneticPr fontId="9" type="noConversion"/>
  </si>
  <si>
    <t>coal</t>
    <phoneticPr fontId="9" type="noConversion"/>
  </si>
  <si>
    <t>注意：</t>
    <phoneticPr fontId="9" type="noConversion"/>
  </si>
  <si>
    <r>
      <t>gasoline</t>
    </r>
    <r>
      <rPr>
        <sz val="11"/>
        <color indexed="8"/>
        <rFont val="宋体"/>
        <family val="3"/>
        <charset val="134"/>
      </rPr>
      <t xml:space="preserve"> vehicle</t>
    </r>
    <phoneticPr fontId="9" type="noConversion"/>
  </si>
  <si>
    <t>NG vehicle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</si>
  <si>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ubic meter/100km</t>
    </r>
    <phoneticPr fontId="9" type="noConversion"/>
  </si>
  <si>
    <t>shell低效率</t>
    <phoneticPr fontId="9" type="noConversion"/>
  </si>
  <si>
    <r>
      <t>x</t>
    </r>
    <r>
      <rPr>
        <sz val="11"/>
        <color indexed="8"/>
        <rFont val="宋体"/>
        <family val="3"/>
        <charset val="134"/>
      </rPr>
      <t>ie相对shell较高效率</t>
    </r>
    <phoneticPr fontId="9" type="noConversion"/>
  </si>
  <si>
    <t>current</t>
    <phoneticPr fontId="9" type="noConversion"/>
  </si>
  <si>
    <r>
      <t>每MJ捕获</t>
    </r>
    <r>
      <rPr>
        <sz val="11"/>
        <color indexed="8"/>
        <rFont val="宋体"/>
        <family val="3"/>
        <charset val="134"/>
      </rPr>
      <t>CO2</t>
    </r>
    <phoneticPr fontId="9" type="noConversion"/>
  </si>
  <si>
    <t>全生命周期捕获率</t>
    <phoneticPr fontId="9" type="noConversion"/>
  </si>
  <si>
    <t>全生命周期效率</t>
    <phoneticPr fontId="9" type="noConversion"/>
  </si>
  <si>
    <t>汽柴油/CNG运输格局</t>
    <phoneticPr fontId="9" type="noConversion"/>
  </si>
  <si>
    <t>替代燃料可以认为与之相同</t>
    <phoneticPr fontId="9" type="noConversion"/>
  </si>
  <si>
    <t xml:space="preserve">The average using rate during transmission was </t>
    <phoneticPr fontId="9" type="noConversion"/>
  </si>
  <si>
    <t>低</t>
    <phoneticPr fontId="22" type="noConversion"/>
  </si>
  <si>
    <t>高</t>
    <phoneticPr fontId="22" type="noConversion"/>
  </si>
  <si>
    <t>SNG-CCS效率损失</t>
    <phoneticPr fontId="9" type="noConversion"/>
  </si>
  <si>
    <t>CTL</t>
    <phoneticPr fontId="22" type="noConversion"/>
  </si>
  <si>
    <r>
      <t>c</t>
    </r>
    <r>
      <rPr>
        <sz val="11"/>
        <color indexed="8"/>
        <rFont val="宋体"/>
        <family val="3"/>
        <charset val="134"/>
      </rPr>
      <t>oal to power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</si>
  <si>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NG</t>
    </r>
    <phoneticPr fontId="22" type="noConversion"/>
  </si>
  <si>
    <t>CTL+CCS</t>
    <phoneticPr fontId="22" type="noConversion"/>
  </si>
  <si>
    <t>IGCC</t>
    <phoneticPr fontId="22" type="noConversion"/>
  </si>
  <si>
    <t>cte+CCS</t>
  </si>
  <si>
    <t>cte+CCS</t>
    <phoneticPr fontId="22" type="noConversion"/>
  </si>
  <si>
    <t>IGCC+CCS</t>
  </si>
  <si>
    <t>IGCC+CCS</t>
    <phoneticPr fontId="22" type="noConversion"/>
  </si>
  <si>
    <t>SNG+CCS</t>
    <phoneticPr fontId="22" type="noConversion"/>
  </si>
  <si>
    <t>coal</t>
    <phoneticPr fontId="22" type="noConversion"/>
  </si>
  <si>
    <t>NG</t>
    <phoneticPr fontId="22" type="noConversion"/>
  </si>
  <si>
    <t>petroluem</t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</si>
  <si>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</si>
  <si>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F</t>
    </r>
    <phoneticPr fontId="22" type="noConversion"/>
  </si>
  <si>
    <t>低+CCS</t>
    <phoneticPr fontId="9" type="noConversion"/>
  </si>
  <si>
    <t>高+CCS</t>
    <phoneticPr fontId="9" type="noConversion"/>
  </si>
  <si>
    <t>total EF</t>
    <phoneticPr fontId="22" type="noConversion"/>
  </si>
  <si>
    <t>total CI</t>
    <phoneticPr fontId="22" type="noConversion"/>
  </si>
  <si>
    <r>
      <t>m</t>
    </r>
    <r>
      <rPr>
        <sz val="11"/>
        <color indexed="8"/>
        <rFont val="宋体"/>
        <family val="3"/>
        <charset val="134"/>
      </rPr>
      <t>icro level car</t>
    </r>
    <phoneticPr fontId="9" type="noConversion"/>
  </si>
  <si>
    <r>
      <t>fuel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  <scheme val="minor"/>
      </rPr>
      <t>efficiency</t>
    </r>
    <phoneticPr fontId="9" type="noConversion"/>
  </si>
  <si>
    <t>-</t>
    <phoneticPr fontId="9" type="noConversion"/>
  </si>
  <si>
    <r>
      <t>s</t>
    </r>
    <r>
      <rPr>
        <sz val="11"/>
        <color indexed="8"/>
        <rFont val="宋体"/>
        <family val="3"/>
        <charset val="134"/>
      </rPr>
      <t>mall level car</t>
    </r>
    <phoneticPr fontId="9" type="noConversion"/>
  </si>
  <si>
    <t>diesel vehicle</t>
    <phoneticPr fontId="9" type="noConversion"/>
  </si>
  <si>
    <t>CTL vehicle</t>
    <phoneticPr fontId="9" type="noConversion"/>
  </si>
  <si>
    <t>CTL+CCS (2)</t>
    <phoneticPr fontId="22" type="noConversion"/>
  </si>
  <si>
    <t>CTL(2)</t>
    <phoneticPr fontId="22" type="noConversion"/>
  </si>
  <si>
    <t>SNG (2)</t>
    <phoneticPr fontId="22" type="noConversion"/>
  </si>
  <si>
    <t>SNG+CCS (2)</t>
    <phoneticPr fontId="22" type="noConversion"/>
  </si>
  <si>
    <t>CNG</t>
    <phoneticPr fontId="22" type="noConversion"/>
  </si>
  <si>
    <t>SNG vehicle</t>
    <phoneticPr fontId="9" type="noConversion"/>
  </si>
  <si>
    <r>
      <t>f</t>
    </r>
    <r>
      <rPr>
        <sz val="11"/>
        <color indexed="8"/>
        <rFont val="宋体"/>
        <family val="3"/>
        <charset val="134"/>
      </rPr>
      <t>uel</t>
    </r>
    <phoneticPr fontId="22" type="noConversion"/>
  </si>
  <si>
    <r>
      <t>p</t>
    </r>
    <r>
      <rPr>
        <sz val="11"/>
        <color indexed="8"/>
        <rFont val="宋体"/>
        <family val="3"/>
        <charset val="134"/>
      </rPr>
      <t>ropulsion</t>
    </r>
    <phoneticPr fontId="22" type="noConversion"/>
  </si>
  <si>
    <t>MJ/MJ</t>
    <phoneticPr fontId="22" type="noConversion"/>
  </si>
  <si>
    <t>MJ/km</t>
    <phoneticPr fontId="22" type="noConversion"/>
  </si>
  <si>
    <t>MJ/km</t>
    <phoneticPr fontId="22" type="noConversion"/>
  </si>
  <si>
    <t>g CO2,e /km</t>
    <phoneticPr fontId="22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</si>
  <si>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22" type="noConversion"/>
  </si>
  <si>
    <t>coal to power</t>
  </si>
  <si>
    <t>节能</t>
    <phoneticPr fontId="22" type="noConversion"/>
  </si>
  <si>
    <t>减碳</t>
    <phoneticPr fontId="22" type="noConversion"/>
  </si>
  <si>
    <r>
      <t>无C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</si>
  <si>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r>
      <t>3</t>
    </r>
    <r>
      <rPr>
        <sz val="11"/>
        <color indexed="8"/>
        <rFont val="宋体"/>
        <family val="3"/>
        <charset val="134"/>
      </rPr>
      <t>8%-51%</t>
    </r>
    <phoneticPr fontId="22" type="noConversion"/>
  </si>
  <si>
    <r>
      <t>2</t>
    </r>
    <r>
      <rPr>
        <sz val="11"/>
        <color indexed="8"/>
        <rFont val="宋体"/>
        <family val="3"/>
        <charset val="134"/>
      </rPr>
      <t>5%-46%</t>
    </r>
    <phoneticPr fontId="22" type="noConversion"/>
  </si>
  <si>
    <r>
      <t>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</si>
  <si>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r>
      <t>1</t>
    </r>
    <r>
      <rPr>
        <sz val="11"/>
        <color indexed="8"/>
        <rFont val="宋体"/>
        <family val="3"/>
        <charset val="134"/>
      </rPr>
      <t>6%-30%</t>
    </r>
    <phoneticPr fontId="22" type="noConversion"/>
  </si>
  <si>
    <r>
      <t>7</t>
    </r>
    <r>
      <rPr>
        <sz val="11"/>
        <color indexed="8"/>
        <rFont val="宋体"/>
        <family val="3"/>
        <charset val="134"/>
      </rPr>
      <t>7%-83%</t>
    </r>
    <phoneticPr fontId="22" type="noConversion"/>
  </si>
  <si>
    <t>增加能耗</t>
    <phoneticPr fontId="22" type="noConversion"/>
  </si>
  <si>
    <r>
      <t>7</t>
    </r>
    <r>
      <rPr>
        <sz val="11"/>
        <color indexed="8"/>
        <rFont val="宋体"/>
        <family val="3"/>
        <charset val="134"/>
      </rPr>
      <t>0-100%</t>
    </r>
    <phoneticPr fontId="22" type="noConversion"/>
  </si>
  <si>
    <t>增加碳排放</t>
    <phoneticPr fontId="22" type="noConversion"/>
  </si>
  <si>
    <t>85-125%</t>
    <phoneticPr fontId="22" type="noConversion"/>
  </si>
  <si>
    <r>
      <t>没有C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</si>
  <si>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t>110-130%</t>
    <phoneticPr fontId="22" type="noConversion"/>
  </si>
  <si>
    <t>130-150%</t>
    <phoneticPr fontId="22" type="noConversion"/>
  </si>
  <si>
    <r>
      <t>有C</t>
    </r>
    <r>
      <rPr>
        <sz val="11"/>
        <color indexed="8"/>
        <rFont val="宋体"/>
        <family val="3"/>
        <charset val="134"/>
      </rPr>
      <t>CS</t>
    </r>
    <phoneticPr fontId="22" type="noConversion"/>
  </si>
  <si>
    <t>100-160%</t>
    <phoneticPr fontId="22" type="noConversion"/>
  </si>
  <si>
    <t>40-80%</t>
    <phoneticPr fontId="22" type="noConversion"/>
  </si>
  <si>
    <t>140-170%</t>
    <phoneticPr fontId="22" type="noConversion"/>
  </si>
  <si>
    <t>18-25%</t>
    <phoneticPr fontId="22" type="noConversion"/>
  </si>
  <si>
    <t>相对汽油车</t>
    <phoneticPr fontId="22" type="noConversion"/>
  </si>
  <si>
    <t>g CO2,e /MJ</t>
    <phoneticPr fontId="22" type="noConversion"/>
  </si>
  <si>
    <r>
      <t>f</t>
    </r>
    <r>
      <rPr>
        <sz val="11"/>
        <color indexed="8"/>
        <rFont val="宋体"/>
        <family val="3"/>
        <charset val="134"/>
      </rPr>
      <t>uel</t>
    </r>
    <phoneticPr fontId="22" type="noConversion"/>
  </si>
  <si>
    <r>
      <t>v</t>
    </r>
    <r>
      <rPr>
        <sz val="11"/>
        <color indexed="8"/>
        <rFont val="宋体"/>
        <family val="3"/>
        <charset val="134"/>
      </rPr>
      <t>ehicle</t>
    </r>
    <phoneticPr fontId="22" type="noConversion"/>
  </si>
  <si>
    <r>
      <t xml:space="preserve">total </t>
    </r>
    <r>
      <rPr>
        <sz val="11"/>
        <color indexed="8"/>
        <rFont val="宋体"/>
        <family val="3"/>
        <charset val="134"/>
      </rPr>
      <t>GHG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</si>
  <si>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nergy-saving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</si>
  <si>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 reduction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</si>
  <si>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</si>
  <si>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/km</t>
    </r>
    <phoneticPr fontId="22" type="noConversion"/>
  </si>
  <si>
    <t>fuel</t>
  </si>
  <si>
    <t>vehicle</t>
  </si>
  <si>
    <t>total EF</t>
  </si>
  <si>
    <t>total GHG</t>
  </si>
  <si>
    <t>energy-saving</t>
  </si>
  <si>
    <t>GHG reduction</t>
  </si>
  <si>
    <t>MJ/km</t>
  </si>
  <si>
    <t>g/km</t>
  </si>
  <si>
    <t>CtL</t>
    <phoneticPr fontId="9" type="noConversion"/>
  </si>
  <si>
    <t xml:space="preserve"> </t>
    <phoneticPr fontId="22" type="noConversion"/>
  </si>
  <si>
    <t>Note</t>
    <phoneticPr fontId="24" type="noConversion"/>
  </si>
  <si>
    <t>water extraction</t>
    <phoneticPr fontId="24" type="noConversion"/>
  </si>
  <si>
    <t>water consumption</t>
    <phoneticPr fontId="24" type="noConversion"/>
  </si>
  <si>
    <t>coal extraction</t>
    <phoneticPr fontId="24" type="noConversion"/>
  </si>
  <si>
    <t>coal washing</t>
    <phoneticPr fontId="24" type="noConversion"/>
  </si>
  <si>
    <t>coal power plant</t>
    <phoneticPr fontId="24" type="noConversion"/>
  </si>
  <si>
    <t>subcritical</t>
  </si>
  <si>
    <t>ultracritical</t>
    <phoneticPr fontId="24" type="noConversion"/>
  </si>
  <si>
    <t>+CCS</t>
    <phoneticPr fontId="24" type="noConversion"/>
  </si>
  <si>
    <r>
      <t>I</t>
    </r>
    <r>
      <rPr>
        <sz val="11"/>
        <color indexed="8"/>
        <rFont val="宋体"/>
        <family val="3"/>
        <charset val="134"/>
      </rPr>
      <t>GCC</t>
    </r>
    <phoneticPr fontId="24" type="noConversion"/>
  </si>
  <si>
    <t>CtL</t>
    <phoneticPr fontId="24" type="noConversion"/>
  </si>
  <si>
    <t>SNG</t>
    <phoneticPr fontId="24" type="noConversion"/>
  </si>
  <si>
    <t>http://tech.163.com/11/0129/08/6RI6N8AQ000915BD.html</t>
  </si>
  <si>
    <t>polysilicon</t>
    <phoneticPr fontId="25" type="noConversion"/>
  </si>
  <si>
    <t>silicon</t>
    <phoneticPr fontId="25" type="noConversion"/>
  </si>
  <si>
    <t>kWh/kg</t>
    <phoneticPr fontId="25" type="noConversion"/>
  </si>
  <si>
    <t>[12] 胡润青．我国多晶硅并网光伏系统能量回收期的研究．太阳能．2009，1：9-14</t>
    <phoneticPr fontId="25" type="noConversion"/>
  </si>
  <si>
    <t>kg/kg</t>
    <phoneticPr fontId="25" type="noConversion"/>
  </si>
  <si>
    <r>
      <t>s</t>
    </r>
    <r>
      <rPr>
        <sz val="11"/>
        <color indexed="8"/>
        <rFont val="宋体"/>
        <family val="3"/>
        <charset val="134"/>
      </rPr>
      <t>lice</t>
    </r>
    <phoneticPr fontId="25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</si>
  <si>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5" type="noConversion"/>
  </si>
  <si>
    <r>
      <t>s</t>
    </r>
    <r>
      <rPr>
        <sz val="11"/>
        <color indexed="8"/>
        <rFont val="宋体"/>
        <family val="3"/>
        <charset val="134"/>
      </rPr>
      <t>team</t>
    </r>
    <phoneticPr fontId="25" type="noConversion"/>
  </si>
  <si>
    <t>kWh/kWp</t>
    <phoneticPr fontId="25" type="noConversion"/>
  </si>
  <si>
    <t>Solar cells</t>
    <phoneticPr fontId="25" type="noConversion"/>
  </si>
  <si>
    <t>Solar package</t>
    <phoneticPr fontId="25" type="noConversion"/>
  </si>
  <si>
    <t>auxillary system</t>
    <phoneticPr fontId="25" type="noConversion"/>
  </si>
  <si>
    <r>
      <t>c</t>
    </r>
    <r>
      <rPr>
        <sz val="11"/>
        <color indexed="8"/>
        <rFont val="宋体"/>
        <family val="3"/>
        <charset val="134"/>
      </rPr>
      <t>onversion factor</t>
    </r>
    <phoneticPr fontId="25" type="noConversion"/>
  </si>
  <si>
    <r>
      <t>f</t>
    </r>
    <r>
      <rPr>
        <sz val="11"/>
        <color indexed="8"/>
        <rFont val="宋体"/>
        <family val="3"/>
        <charset val="134"/>
      </rPr>
      <t>rom silicon to polysilicon</t>
    </r>
    <phoneticPr fontId="25" type="noConversion"/>
  </si>
  <si>
    <t>package rate</t>
    <phoneticPr fontId="25" type="noConversion"/>
  </si>
  <si>
    <r>
      <t>e</t>
    </r>
    <r>
      <rPr>
        <sz val="11"/>
        <color indexed="8"/>
        <rFont val="宋体"/>
        <family val="3"/>
        <charset val="134"/>
      </rPr>
      <t>nergy embodied in other material</t>
    </r>
    <phoneticPr fontId="25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</si>
  <si>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5" type="noConversion"/>
  </si>
  <si>
    <t>Transportation</t>
    <phoneticPr fontId="25" type="noConversion"/>
  </si>
  <si>
    <r>
      <t>d</t>
    </r>
    <r>
      <rPr>
        <sz val="11"/>
        <color indexed="8"/>
        <rFont val="宋体"/>
        <family val="3"/>
        <charset val="134"/>
      </rPr>
      <t>iesel</t>
    </r>
    <phoneticPr fontId="25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</si>
  <si>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25" type="noConversion"/>
  </si>
  <si>
    <t>kg/ton.km</t>
    <phoneticPr fontId="25" type="noConversion"/>
  </si>
  <si>
    <t>kg/kWp</t>
    <phoneticPr fontId="25" type="noConversion"/>
  </si>
  <si>
    <r>
      <t>k</t>
    </r>
    <r>
      <rPr>
        <sz val="11"/>
        <color indexed="8"/>
        <rFont val="宋体"/>
        <family val="3"/>
        <charset val="134"/>
      </rPr>
      <t>g/kWP</t>
    </r>
    <phoneticPr fontId="25" type="noConversion"/>
  </si>
  <si>
    <t>生产环节</t>
  </si>
  <si>
    <t>能耗</t>
  </si>
  <si>
    <r>
      <t>能耗（</t>
    </r>
    <r>
      <rPr>
        <sz val="11"/>
        <rFont val="Times New Roman"/>
        <family val="1"/>
      </rPr>
      <t>kWh/kWp</t>
    </r>
    <r>
      <rPr>
        <sz val="11"/>
        <rFont val="宋体"/>
        <family val="3"/>
        <charset val="134"/>
      </rPr>
      <t>）</t>
    </r>
  </si>
  <si>
    <t>比例</t>
  </si>
  <si>
    <t>工业硅</t>
  </si>
  <si>
    <t>13 kWh/kg</t>
  </si>
  <si>
    <t>太阳能级多晶硅</t>
  </si>
  <si>
    <t>283 kWh/kg</t>
  </si>
  <si>
    <t>多晶硅铸锭与切片</t>
  </si>
  <si>
    <t>625 kWh/kWp</t>
  </si>
  <si>
    <t>光伏电池片</t>
  </si>
  <si>
    <t>200 kWh/kWp</t>
  </si>
  <si>
    <t>光伏组件</t>
  </si>
  <si>
    <t>150 kWh/kWp</t>
  </si>
  <si>
    <t>光伏系统</t>
  </si>
  <si>
    <r>
      <t>生产能耗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合计</t>
    </r>
    <r>
      <rPr>
        <sz val="11"/>
        <rFont val="Times New Roman"/>
        <family val="1"/>
      </rPr>
      <t>)</t>
    </r>
  </si>
  <si>
    <t>N/A</t>
  </si>
  <si>
    <t>625 kWh/kWp</t>
    <phoneticPr fontId="26" type="noConversion"/>
  </si>
  <si>
    <t>http://www.ahxy.com.cn/news/list.asp?news_id=607</t>
  </si>
  <si>
    <r>
      <t>k</t>
    </r>
    <r>
      <rPr>
        <sz val="11"/>
        <color indexed="8"/>
        <rFont val="宋体"/>
        <family val="3"/>
        <charset val="134"/>
      </rPr>
      <t>g/kg</t>
    </r>
    <phoneticPr fontId="25" type="noConversion"/>
  </si>
  <si>
    <t>from polysilicon to slice</t>
    <phoneticPr fontId="25" type="noConversion"/>
  </si>
  <si>
    <t>from sice to system</t>
    <phoneticPr fontId="25" type="noConversion"/>
  </si>
  <si>
    <r>
      <t>k</t>
    </r>
    <r>
      <rPr>
        <sz val="11"/>
        <color indexed="8"/>
        <rFont val="宋体"/>
        <family val="3"/>
        <charset val="134"/>
      </rPr>
      <t>Wp/kg</t>
    </r>
    <phoneticPr fontId="25" type="noConversion"/>
  </si>
  <si>
    <r>
      <t>k</t>
    </r>
    <r>
      <rPr>
        <sz val="11"/>
        <color indexed="8"/>
        <rFont val="宋体"/>
        <family val="3"/>
        <charset val="134"/>
      </rPr>
      <t>Wh/kWp</t>
    </r>
    <phoneticPr fontId="25" type="noConversion"/>
  </si>
  <si>
    <r>
      <t>G</t>
    </r>
    <r>
      <rPr>
        <sz val="11"/>
        <color indexed="8"/>
        <rFont val="宋体"/>
        <family val="3"/>
        <charset val="134"/>
      </rPr>
      <t>HG系数</t>
    </r>
    <phoneticPr fontId="25" type="noConversion"/>
  </si>
  <si>
    <r>
      <t>g</t>
    </r>
    <r>
      <rPr>
        <sz val="11"/>
        <color indexed="8"/>
        <rFont val="宋体"/>
        <family val="3"/>
        <charset val="134"/>
      </rPr>
      <t>/kWh</t>
    </r>
    <phoneticPr fontId="25" type="noConversion"/>
  </si>
  <si>
    <r>
      <t>t</t>
    </r>
    <r>
      <rPr>
        <sz val="11"/>
        <color indexed="8"/>
        <rFont val="宋体"/>
        <family val="3"/>
        <charset val="134"/>
      </rPr>
      <t>otal</t>
    </r>
    <phoneticPr fontId="25" type="noConversion"/>
  </si>
  <si>
    <t>GHG(kg/kWp)</t>
    <phoneticPr fontId="25" type="noConversion"/>
  </si>
  <si>
    <r>
      <t>a</t>
    </r>
    <r>
      <rPr>
        <sz val="11"/>
        <color indexed="8"/>
        <rFont val="宋体"/>
        <family val="3"/>
        <charset val="134"/>
      </rPr>
      <t>nnual hours</t>
    </r>
    <phoneticPr fontId="25" type="noConversion"/>
  </si>
  <si>
    <r>
      <t>b</t>
    </r>
    <r>
      <rPr>
        <sz val="11"/>
        <color indexed="8"/>
        <rFont val="宋体"/>
        <family val="3"/>
        <charset val="134"/>
      </rPr>
      <t>est</t>
    </r>
    <phoneticPr fontId="25" type="noConversion"/>
  </si>
  <si>
    <r>
      <t>w</t>
    </r>
    <r>
      <rPr>
        <sz val="11"/>
        <color indexed="8"/>
        <rFont val="宋体"/>
        <family val="3"/>
        <charset val="134"/>
      </rPr>
      <t>orst</t>
    </r>
    <phoneticPr fontId="25" type="noConversion"/>
  </si>
  <si>
    <t>average</t>
    <phoneticPr fontId="25" type="noConversion"/>
  </si>
  <si>
    <r>
      <t>u</t>
    </r>
    <r>
      <rPr>
        <sz val="11"/>
        <color indexed="8"/>
        <rFont val="宋体"/>
        <family val="3"/>
        <charset val="134"/>
      </rPr>
      <t>se rate for building</t>
    </r>
    <phoneticPr fontId="25" type="noConversion"/>
  </si>
  <si>
    <t>use rate for powerplant</t>
    <phoneticPr fontId="25" type="noConversion"/>
  </si>
  <si>
    <r>
      <t>p</t>
    </r>
    <r>
      <rPr>
        <sz val="11"/>
        <color indexed="8"/>
        <rFont val="宋体"/>
        <family val="3"/>
        <charset val="134"/>
      </rPr>
      <t>ayback time</t>
    </r>
    <phoneticPr fontId="25" type="noConversion"/>
  </si>
  <si>
    <t>化石能耗扩大系数</t>
    <phoneticPr fontId="25" type="noConversion"/>
  </si>
  <si>
    <t>coal</t>
    <phoneticPr fontId="25" type="noConversion"/>
  </si>
  <si>
    <t>NG</t>
    <phoneticPr fontId="25" type="noConversion"/>
  </si>
  <si>
    <t>petrolum</t>
    <phoneticPr fontId="25" type="noConversion"/>
  </si>
  <si>
    <t>生命期电量MJ</t>
    <phoneticPr fontId="25" type="noConversion"/>
  </si>
  <si>
    <t>FE(MJ/kWp)</t>
    <phoneticPr fontId="25" type="noConversion"/>
  </si>
  <si>
    <t>直接能耗回收期</t>
    <phoneticPr fontId="25" type="noConversion"/>
  </si>
  <si>
    <t>全生命周期能耗回收期</t>
    <phoneticPr fontId="25" type="noConversion"/>
  </si>
  <si>
    <t>碳排放回收期</t>
    <phoneticPr fontId="25" type="noConversion"/>
  </si>
  <si>
    <t>碳强度</t>
  </si>
  <si>
    <r>
      <t>其中C</t>
    </r>
    <r>
      <rPr>
        <sz val="11"/>
        <color indexed="8"/>
        <rFont val="宋体"/>
        <family val="3"/>
        <charset val="134"/>
      </rPr>
      <t>O2</t>
    </r>
    <phoneticPr fontId="25" type="noConversion"/>
  </si>
  <si>
    <t>碳强度(g/MJ)</t>
    <phoneticPr fontId="25" type="noConversion"/>
  </si>
  <si>
    <r>
      <t>t</t>
    </r>
    <r>
      <rPr>
        <sz val="11"/>
        <color indexed="8"/>
        <rFont val="宋体"/>
        <family val="3"/>
        <charset val="134"/>
      </rPr>
      <t>on/GJ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</si>
  <si>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</t>
    </r>
    <phoneticPr fontId="24" type="noConversion"/>
  </si>
  <si>
    <t>coal</t>
    <phoneticPr fontId="24" type="noConversion"/>
  </si>
  <si>
    <r>
      <t>e</t>
    </r>
    <r>
      <rPr>
        <sz val="11"/>
        <color indexed="8"/>
        <rFont val="宋体"/>
        <family val="3"/>
        <charset val="134"/>
      </rPr>
      <t>lectricity</t>
    </r>
    <phoneticPr fontId="24" type="noConversion"/>
  </si>
  <si>
    <t>efficiency（%）</t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</si>
  <si>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extraction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</si>
  <si>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washing</t>
    </r>
    <phoneticPr fontId="24" type="noConversion"/>
  </si>
  <si>
    <t>powerplant</t>
    <phoneticPr fontId="24" type="noConversion"/>
  </si>
  <si>
    <t>high(2020)</t>
    <phoneticPr fontId="24" type="noConversion"/>
  </si>
  <si>
    <t>其中电池</t>
    <phoneticPr fontId="9" type="noConversion"/>
  </si>
  <si>
    <t>车辆及电池周期</t>
    <phoneticPr fontId="9" type="noConversion"/>
  </si>
  <si>
    <r>
      <t>M</t>
    </r>
    <r>
      <rPr>
        <sz val="11"/>
        <color indexed="8"/>
        <rFont val="宋体"/>
        <family val="3"/>
        <charset val="134"/>
      </rPr>
      <t>J/km</t>
    </r>
    <phoneticPr fontId="9" type="noConversion"/>
  </si>
  <si>
    <t>g/km</t>
    <phoneticPr fontId="9" type="noConversion"/>
  </si>
  <si>
    <r>
      <t>G</t>
    </r>
    <r>
      <rPr>
        <sz val="11"/>
        <color indexed="8"/>
        <rFont val="宋体"/>
        <family val="3"/>
        <charset val="134"/>
      </rPr>
      <t>HG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</si>
  <si>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oal</t>
    </r>
    <phoneticPr fontId="9" type="noConversion"/>
  </si>
  <si>
    <r>
      <t>N</t>
    </r>
    <r>
      <rPr>
        <sz val="11"/>
        <color indexed="8"/>
        <rFont val="宋体"/>
        <family val="3"/>
        <charset val="134"/>
      </rPr>
      <t>G</t>
    </r>
    <phoneticPr fontId="9" type="noConversion"/>
  </si>
  <si>
    <r>
      <t>P</t>
    </r>
    <r>
      <rPr>
        <sz val="11"/>
        <color indexed="8"/>
        <rFont val="宋体"/>
        <family val="3"/>
        <charset val="134"/>
      </rPr>
      <t>etroluem</t>
    </r>
    <phoneticPr fontId="9" type="noConversion"/>
  </si>
  <si>
    <t>SC</t>
    <phoneticPr fontId="9" type="noConversion"/>
  </si>
  <si>
    <r>
      <t>S</t>
    </r>
    <r>
      <rPr>
        <sz val="11"/>
        <color indexed="8"/>
        <rFont val="宋体"/>
        <family val="3"/>
        <charset val="134"/>
      </rPr>
      <t>C+CCS</t>
    </r>
    <phoneticPr fontId="9" type="noConversion"/>
  </si>
  <si>
    <t>SC+CCS</t>
    <phoneticPr fontId="9" type="noConversion"/>
  </si>
  <si>
    <r>
      <t>t</t>
    </r>
    <r>
      <rPr>
        <sz val="11"/>
        <color indexed="8"/>
        <rFont val="宋体"/>
        <family val="3"/>
        <charset val="134"/>
      </rPr>
      <t>ransportation</t>
    </r>
    <phoneticPr fontId="26" type="noConversion"/>
  </si>
  <si>
    <r>
      <t>s</t>
    </r>
    <r>
      <rPr>
        <sz val="11"/>
        <color indexed="8"/>
        <rFont val="宋体"/>
        <family val="3"/>
        <charset val="134"/>
      </rPr>
      <t>torage</t>
    </r>
    <phoneticPr fontId="26" type="noConversion"/>
  </si>
  <si>
    <t>Btu/吨公里</t>
    <phoneticPr fontId="26" type="noConversion"/>
  </si>
  <si>
    <r>
      <t>M</t>
    </r>
    <r>
      <rPr>
        <sz val="11"/>
        <color indexed="8"/>
        <rFont val="宋体"/>
        <family val="3"/>
        <charset val="134"/>
      </rPr>
      <t>J/吨公里</t>
    </r>
    <phoneticPr fontId="26" type="noConversion"/>
  </si>
  <si>
    <r>
      <t>G</t>
    </r>
    <r>
      <rPr>
        <sz val="11"/>
        <color indexed="8"/>
        <rFont val="宋体"/>
        <family val="3"/>
        <charset val="134"/>
      </rPr>
      <t>REET</t>
    </r>
    <phoneticPr fontId="26" type="noConversion"/>
  </si>
  <si>
    <r>
      <t>d</t>
    </r>
    <r>
      <rPr>
        <sz val="11"/>
        <color indexed="8"/>
        <rFont val="宋体"/>
        <family val="3"/>
        <charset val="134"/>
      </rPr>
      <t>istance</t>
    </r>
    <phoneticPr fontId="26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</si>
  <si>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26" type="noConversion"/>
  </si>
  <si>
    <t>MJ/ton</t>
    <phoneticPr fontId="26" type="noConversion"/>
  </si>
  <si>
    <t>Coal</t>
    <phoneticPr fontId="26" type="noConversion"/>
  </si>
  <si>
    <t>NG</t>
    <phoneticPr fontId="26" type="noConversion"/>
  </si>
  <si>
    <t>Petroluem</t>
    <phoneticPr fontId="26" type="noConversion"/>
  </si>
  <si>
    <t>g/ton</t>
    <phoneticPr fontId="26" type="noConversion"/>
  </si>
  <si>
    <t>CO2</t>
    <phoneticPr fontId="26" type="noConversion"/>
  </si>
  <si>
    <t>CH4</t>
    <phoneticPr fontId="26" type="noConversion"/>
  </si>
  <si>
    <t>N2O</t>
    <phoneticPr fontId="26" type="noConversion"/>
  </si>
  <si>
    <t>mg/ton</t>
    <phoneticPr fontId="26" type="noConversion"/>
  </si>
  <si>
    <r>
      <rPr>
        <sz val="11"/>
        <color indexed="8"/>
        <rFont val="宋体"/>
        <family val="3"/>
        <charset val="134"/>
      </rPr>
      <t xml:space="preserve">USC </t>
    </r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indexed="8"/>
        <rFont val="宋体"/>
        <family val="3"/>
        <charset val="134"/>
      </rPr>
      <t>oal to power</t>
    </r>
    <phoneticPr fontId="22" type="noConversion"/>
  </si>
  <si>
    <r>
      <t>U</t>
    </r>
    <r>
      <rPr>
        <sz val="11"/>
        <color indexed="8"/>
        <rFont val="宋体"/>
        <family val="3"/>
        <charset val="134"/>
      </rPr>
      <t>SC</t>
    </r>
    <r>
      <rPr>
        <sz val="11"/>
        <color theme="1"/>
        <rFont val="宋体"/>
        <family val="3"/>
        <charset val="134"/>
        <scheme val="minor"/>
      </rPr>
      <t>+CCS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</si>
  <si>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C coal to power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</si>
  <si>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C+CCS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</si>
  <si>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rid electricity</t>
    </r>
    <phoneticPr fontId="22" type="noConversion"/>
  </si>
  <si>
    <r>
      <t>N</t>
    </r>
    <r>
      <rPr>
        <sz val="11"/>
        <color indexed="8"/>
        <rFont val="宋体"/>
        <family val="3"/>
        <charset val="134"/>
      </rPr>
      <t>orth China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</si>
  <si>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outh China</t>
    </r>
    <phoneticPr fontId="22" type="noConversion"/>
  </si>
  <si>
    <t>原料类型</t>
  </si>
  <si>
    <t>煤电</t>
  </si>
  <si>
    <t>油电</t>
  </si>
  <si>
    <t>气电</t>
  </si>
  <si>
    <t>核电</t>
  </si>
  <si>
    <t>生物质电</t>
  </si>
  <si>
    <t>其他电</t>
  </si>
  <si>
    <t>网电</t>
  </si>
  <si>
    <t>能源强度</t>
  </si>
  <si>
    <t>其中：煤炭</t>
  </si>
  <si>
    <r>
      <t xml:space="preserve">     </t>
    </r>
    <r>
      <rPr>
        <sz val="11"/>
        <color indexed="8"/>
        <rFont val="宋体"/>
        <family val="3"/>
        <charset val="134"/>
      </rPr>
      <t>天然气</t>
    </r>
  </si>
  <si>
    <r>
      <t xml:space="preserve">     </t>
    </r>
    <r>
      <rPr>
        <sz val="11"/>
        <color indexed="8"/>
        <rFont val="宋体"/>
        <family val="3"/>
        <charset val="134"/>
      </rPr>
      <t>石油</t>
    </r>
  </si>
  <si>
    <r>
      <t>gCO</t>
    </r>
    <r>
      <rPr>
        <vertAlign val="subscript"/>
        <sz val="11"/>
        <color indexed="8"/>
        <rFont val="Times New Roman"/>
        <family val="1"/>
      </rPr>
      <t>2,e</t>
    </r>
    <r>
      <rPr>
        <sz val="11"/>
        <color indexed="8"/>
        <rFont val="Times New Roman"/>
        <family val="1"/>
      </rPr>
      <t xml:space="preserve"> /MJ</t>
    </r>
  </si>
  <si>
    <t>华北电网</t>
  </si>
  <si>
    <t>华北电网</t>
    <phoneticPr fontId="26" type="noConversion"/>
  </si>
  <si>
    <t>oil</t>
    <phoneticPr fontId="25" type="noConversion"/>
  </si>
  <si>
    <r>
      <t>P</t>
    </r>
    <r>
      <rPr>
        <sz val="11"/>
        <color indexed="8"/>
        <rFont val="宋体"/>
        <family val="3"/>
        <charset val="134"/>
      </rPr>
      <t xml:space="preserve">V power(Best) </t>
    </r>
    <phoneticPr fontId="22" type="noConversion"/>
  </si>
  <si>
    <t xml:space="preserve">PV power(Ave) </t>
    <phoneticPr fontId="22" type="noConversion"/>
  </si>
  <si>
    <t>PV power(Worst)</t>
    <phoneticPr fontId="22" type="noConversion"/>
  </si>
  <si>
    <t>MJ/kWp</t>
    <phoneticPr fontId="25" type="noConversion"/>
  </si>
  <si>
    <t>BEV</t>
    <phoneticPr fontId="22" type="noConversion"/>
  </si>
  <si>
    <r>
      <t>w</t>
    </r>
    <r>
      <rPr>
        <sz val="11"/>
        <color indexed="8"/>
        <rFont val="宋体"/>
        <family val="3"/>
        <charset val="134"/>
      </rPr>
      <t>orst</t>
    </r>
    <phoneticPr fontId="22" type="noConversion"/>
  </si>
  <si>
    <r>
      <t>b</t>
    </r>
    <r>
      <rPr>
        <sz val="11"/>
        <color indexed="8"/>
        <rFont val="宋体"/>
        <family val="3"/>
        <charset val="134"/>
      </rPr>
      <t>est</t>
    </r>
    <phoneticPr fontId="22" type="noConversion"/>
  </si>
  <si>
    <t>SNG+CCS</t>
    <phoneticPr fontId="9" type="noConversion"/>
  </si>
  <si>
    <t>SNG(2)+CCS</t>
    <phoneticPr fontId="9" type="noConversion"/>
  </si>
  <si>
    <t>GHG占比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</si>
  <si>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C占比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</si>
  <si>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</t>
    </r>
    <r>
      <rPr>
        <sz val="11"/>
        <color theme="1"/>
        <rFont val="宋体"/>
        <family val="3"/>
        <charset val="134"/>
        <scheme val="minor"/>
      </rPr>
      <t>+CCS</t>
    </r>
    <phoneticPr fontId="9" type="noConversion"/>
  </si>
  <si>
    <r>
      <t>C3</t>
    </r>
    <r>
      <rPr>
        <sz val="11"/>
        <color indexed="8"/>
        <rFont val="宋体"/>
        <family val="3"/>
        <charset val="134"/>
      </rPr>
      <t>(高效)</t>
    </r>
    <phoneticPr fontId="9" type="noConversion"/>
  </si>
  <si>
    <r>
      <rPr>
        <sz val="10.5"/>
        <color indexed="8"/>
        <rFont val="宋体"/>
        <family val="3"/>
        <charset val="134"/>
      </rPr>
      <t>r</t>
    </r>
    <r>
      <rPr>
        <sz val="10.5"/>
        <color indexed="8"/>
        <rFont val="宋体"/>
        <family val="3"/>
        <charset val="134"/>
      </rPr>
      <t>elative to gasoline car</t>
    </r>
    <phoneticPr fontId="22" type="noConversion"/>
  </si>
  <si>
    <r>
      <t>e</t>
    </r>
    <r>
      <rPr>
        <sz val="11"/>
        <color indexed="8"/>
        <rFont val="宋体"/>
        <family val="3"/>
        <charset val="134"/>
      </rPr>
      <t>nergy saving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</si>
  <si>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>HG reduction</t>
    </r>
    <phoneticPr fontId="22" type="noConversion"/>
  </si>
  <si>
    <r>
      <t>S</t>
    </r>
    <r>
      <rPr>
        <sz val="11"/>
        <color indexed="8"/>
        <rFont val="宋体"/>
        <family val="3"/>
        <charset val="134"/>
      </rPr>
      <t>ilicon production</t>
    </r>
    <phoneticPr fontId="25" type="noConversion"/>
  </si>
  <si>
    <r>
      <t>P</t>
    </r>
    <r>
      <rPr>
        <sz val="11"/>
        <color indexed="8"/>
        <rFont val="宋体"/>
        <family val="3"/>
        <charset val="134"/>
      </rPr>
      <t>olysilicon production</t>
    </r>
    <phoneticPr fontId="25" type="noConversion"/>
  </si>
  <si>
    <r>
      <t>C</t>
    </r>
    <r>
      <rPr>
        <sz val="11"/>
        <color indexed="8"/>
        <rFont val="宋体"/>
        <family val="3"/>
        <charset val="134"/>
      </rPr>
      <t>ells production</t>
    </r>
    <phoneticPr fontId="25" type="noConversion"/>
  </si>
  <si>
    <t>Package</t>
    <phoneticPr fontId="25" type="noConversion"/>
  </si>
  <si>
    <t>Auxililary system production</t>
    <phoneticPr fontId="25" type="noConversion"/>
  </si>
  <si>
    <t>Material used in process</t>
    <phoneticPr fontId="25" type="noConversion"/>
  </si>
  <si>
    <t>System transportation</t>
    <phoneticPr fontId="25" type="noConversion"/>
  </si>
  <si>
    <r>
      <t>s</t>
    </r>
    <r>
      <rPr>
        <sz val="11"/>
        <color indexed="8"/>
        <rFont val="宋体"/>
        <family val="3"/>
        <charset val="134"/>
      </rPr>
      <t>tage</t>
    </r>
    <phoneticPr fontId="25" type="noConversion"/>
  </si>
  <si>
    <t>30-year power generation(MJ/KWp)</t>
    <phoneticPr fontId="25" type="noConversion"/>
  </si>
  <si>
    <t>payback time for GHG emission (yr)</t>
    <phoneticPr fontId="25" type="noConversion"/>
  </si>
  <si>
    <t>payback time for direct energy use (yr)</t>
    <phoneticPr fontId="25" type="noConversion"/>
  </si>
  <si>
    <t>payback time for fossil energy use (yr)</t>
    <phoneticPr fontId="25" type="noConversion"/>
  </si>
  <si>
    <r>
      <t>r</t>
    </r>
    <r>
      <rPr>
        <sz val="11"/>
        <color indexed="8"/>
        <rFont val="宋体"/>
        <family val="3"/>
        <charset val="134"/>
      </rPr>
      <t>atio for CO2 transportation</t>
    </r>
    <phoneticPr fontId="22" type="noConversion"/>
  </si>
  <si>
    <r>
      <t>C</t>
    </r>
    <r>
      <rPr>
        <sz val="11"/>
        <color indexed="8"/>
        <rFont val="宋体"/>
        <family val="3"/>
        <charset val="134"/>
      </rPr>
      <t>TL+CCS</t>
    </r>
    <phoneticPr fontId="22" type="noConversion"/>
  </si>
  <si>
    <r>
      <t>f</t>
    </r>
    <r>
      <rPr>
        <sz val="11"/>
        <color indexed="8"/>
        <rFont val="宋体"/>
        <family val="3"/>
        <charset val="134"/>
      </rPr>
      <t>ossil energy use</t>
    </r>
    <phoneticPr fontId="22" type="noConversion"/>
  </si>
  <si>
    <r>
      <t>G</t>
    </r>
    <r>
      <rPr>
        <sz val="11"/>
        <color indexed="8"/>
        <rFont val="宋体"/>
        <family val="3"/>
        <charset val="134"/>
      </rPr>
      <t xml:space="preserve">HG emission </t>
    </r>
    <phoneticPr fontId="22" type="noConversion"/>
  </si>
  <si>
    <r>
      <t>1</t>
    </r>
    <r>
      <rPr>
        <sz val="11"/>
        <color indexed="8"/>
        <rFont val="宋体"/>
        <family val="3"/>
        <charset val="134"/>
      </rPr>
      <t>0kw，一生换一次</t>
    </r>
    <phoneticPr fontId="9" type="noConversion"/>
  </si>
  <si>
    <r>
      <t>2</t>
    </r>
    <r>
      <rPr>
        <sz val="11"/>
        <color indexed="8"/>
        <rFont val="宋体"/>
        <family val="3"/>
        <charset val="134"/>
      </rPr>
      <t>0kw，一生换一次</t>
    </r>
    <phoneticPr fontId="9" type="noConversion"/>
  </si>
  <si>
    <t>higher level</t>
    <phoneticPr fontId="24" type="noConversion"/>
  </si>
  <si>
    <t>IGCC(Best)</t>
    <phoneticPr fontId="24" type="noConversion"/>
  </si>
  <si>
    <t>+CCS</t>
    <phoneticPr fontId="24" type="noConversion"/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</si>
  <si>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sed by shell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</si>
  <si>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extraction</t>
    </r>
    <phoneticPr fontId="24" type="noConversion"/>
  </si>
  <si>
    <r>
      <t>c</t>
    </r>
    <r>
      <rPr>
        <sz val="11"/>
        <color indexed="8"/>
        <rFont val="宋体"/>
        <family val="3"/>
        <charset val="134"/>
      </rPr>
      <t>oal washing</t>
    </r>
    <phoneticPr fontId="24" type="noConversion"/>
  </si>
  <si>
    <r>
      <t>l</t>
    </r>
    <r>
      <rPr>
        <sz val="11"/>
        <color indexed="8"/>
        <rFont val="宋体"/>
        <family val="3"/>
        <charset val="134"/>
      </rPr>
      <t>ower level</t>
    </r>
    <phoneticPr fontId="24" type="noConversion"/>
  </si>
  <si>
    <t>合计</t>
    <phoneticPr fontId="24" type="noConversion"/>
  </si>
  <si>
    <t>China energy LCA Model (TLCAM)</t>
    <phoneticPr fontId="33" type="noConversion"/>
  </si>
  <si>
    <r>
      <t>E</t>
    </r>
    <r>
      <rPr>
        <sz val="11"/>
        <color indexed="8"/>
        <rFont val="宋体"/>
        <family val="3"/>
        <charset val="134"/>
      </rPr>
      <t>mail: ouxm@mail.tsinghua.edu.cn</t>
    </r>
    <phoneticPr fontId="33" type="noConversion"/>
  </si>
  <si>
    <t>子阶段</t>
  </si>
  <si>
    <t>项目</t>
  </si>
  <si>
    <t>CO2，direct</t>
    <phoneticPr fontId="33" type="noConversion"/>
  </si>
  <si>
    <t>终端能源</t>
  </si>
  <si>
    <t>原煤</t>
  </si>
  <si>
    <t>原始天然气</t>
  </si>
  <si>
    <t>原油</t>
  </si>
  <si>
    <t>EI</t>
    <phoneticPr fontId="33" type="noConversion"/>
  </si>
  <si>
    <t>单位</t>
  </si>
  <si>
    <r>
      <t>gCO</t>
    </r>
    <r>
      <rPr>
        <b/>
        <vertAlign val="subscript"/>
        <sz val="11"/>
        <color indexed="8"/>
        <rFont val="Times New Roman"/>
        <family val="1"/>
      </rPr>
      <t>2,e</t>
    </r>
    <r>
      <rPr>
        <b/>
        <sz val="11"/>
        <color indexed="8"/>
        <rFont val="Times New Roman"/>
        <family val="1"/>
      </rPr>
      <t>/MJ</t>
    </r>
  </si>
  <si>
    <t>精煤</t>
  </si>
  <si>
    <t>精制天然气</t>
  </si>
  <si>
    <t>柴油</t>
  </si>
  <si>
    <t>汽油</t>
  </si>
  <si>
    <t>燃料油</t>
  </si>
  <si>
    <t>电力</t>
  </si>
  <si>
    <t>其他发电</t>
  </si>
  <si>
    <t>煤炭强度</t>
    <phoneticPr fontId="33" type="noConversion"/>
  </si>
  <si>
    <t>天然气强度</t>
    <phoneticPr fontId="33" type="noConversion"/>
  </si>
  <si>
    <t>石油强度</t>
    <phoneticPr fontId="33" type="noConversion"/>
  </si>
  <si>
    <t>CO2,LC</t>
    <phoneticPr fontId="33" type="noConversion"/>
  </si>
  <si>
    <t>CH4,LC</t>
    <phoneticPr fontId="33" type="noConversion"/>
  </si>
  <si>
    <t>N2O,LC</t>
    <phoneticPr fontId="33" type="noConversion"/>
  </si>
  <si>
    <t>总排放（计算值）</t>
    <phoneticPr fontId="33" type="noConversion"/>
  </si>
  <si>
    <t>原气</t>
  </si>
  <si>
    <t>电力</t>
    <phoneticPr fontId="33" type="noConversion"/>
  </si>
  <si>
    <t>一次能源强度</t>
    <phoneticPr fontId="33" type="noConversion"/>
  </si>
  <si>
    <t>间接CO2</t>
    <phoneticPr fontId="33" type="noConversion"/>
  </si>
  <si>
    <t>间接所有GHG</t>
    <phoneticPr fontId="33" type="noConversion"/>
  </si>
  <si>
    <t>间接CO2是直接CO2的比例</t>
    <phoneticPr fontId="33" type="noConversion"/>
  </si>
  <si>
    <t>间接所有GHG是直接CO2的比例</t>
    <phoneticPr fontId="33" type="noConversion"/>
  </si>
  <si>
    <t>javascript:g_res_status=0;initPage();</t>
    <phoneticPr fontId="33" type="noConversion"/>
  </si>
  <si>
    <r>
      <t>上游C</t>
    </r>
    <r>
      <rPr>
        <sz val="11"/>
        <color indexed="8"/>
        <rFont val="宋体"/>
        <family val="3"/>
        <charset val="134"/>
      </rPr>
      <t>H4</t>
    </r>
    <phoneticPr fontId="33" type="noConversion"/>
  </si>
  <si>
    <r>
      <t>上游N2</t>
    </r>
    <r>
      <rPr>
        <sz val="11"/>
        <color indexed="8"/>
        <rFont val="宋体"/>
        <family val="3"/>
        <charset val="134"/>
      </rPr>
      <t>O</t>
    </r>
    <phoneticPr fontId="33" type="noConversion"/>
  </si>
  <si>
    <t>求算值</t>
    <phoneticPr fontId="33" type="noConversion"/>
  </si>
  <si>
    <t>控制变量</t>
    <phoneticPr fontId="33" type="noConversion"/>
  </si>
  <si>
    <t>LC for SE</t>
    <phoneticPr fontId="33" type="noConversion"/>
  </si>
  <si>
    <t>Sheet Name</t>
    <phoneticPr fontId="33" type="noConversion"/>
  </si>
  <si>
    <t>Description</t>
    <phoneticPr fontId="33" type="noConversion"/>
  </si>
  <si>
    <t>Dominant secondary energy pathways LCA inventory (Linked or inputted)</t>
    <phoneticPr fontId="33" type="noConversion"/>
  </si>
  <si>
    <t xml:space="preserve">LCA for dominant secondary energy pathways inventory </t>
    <phoneticPr fontId="33" type="noConversion"/>
  </si>
  <si>
    <t>LC factor</t>
  </si>
  <si>
    <t>LC GHG</t>
    <phoneticPr fontId="9" type="noConversion"/>
  </si>
  <si>
    <t>CO2,direct</t>
    <phoneticPr fontId="9" type="noConversion"/>
  </si>
  <si>
    <t>LC</t>
    <phoneticPr fontId="9" type="noConversion"/>
  </si>
  <si>
    <r>
      <t>L</t>
    </r>
    <r>
      <rPr>
        <sz val="11"/>
        <color indexed="8"/>
        <rFont val="宋体"/>
        <family val="3"/>
        <charset val="134"/>
      </rPr>
      <t>C</t>
    </r>
    <phoneticPr fontId="9" type="noConversion"/>
  </si>
  <si>
    <t>Mg/MJ</t>
    <phoneticPr fontId="9" type="noConversion"/>
  </si>
  <si>
    <t>Process fuel consumption for fuel transportation (kJ/MJ)</t>
    <phoneticPr fontId="9" type="noConversion"/>
  </si>
  <si>
    <t>含在燃料中</t>
    <phoneticPr fontId="9" type="noConversion"/>
  </si>
  <si>
    <t>PC+CCS</t>
    <phoneticPr fontId="9" type="noConversion"/>
  </si>
  <si>
    <t>IGCC+CCS</t>
    <phoneticPr fontId="9" type="noConversion"/>
  </si>
  <si>
    <t>捕获率</t>
    <phoneticPr fontId="9" type="noConversion"/>
  </si>
  <si>
    <t>CO2 cautured （g/MJ）</t>
    <phoneticPr fontId="9" type="noConversion"/>
  </si>
  <si>
    <t>LC EC</t>
    <phoneticPr fontId="9" type="noConversion"/>
  </si>
  <si>
    <t>CTL+CCS</t>
    <phoneticPr fontId="9" type="noConversion"/>
  </si>
  <si>
    <t>CTL(low)+CCS</t>
    <phoneticPr fontId="9" type="noConversion"/>
  </si>
  <si>
    <t>T&amp;D</t>
    <phoneticPr fontId="33" type="noConversion"/>
  </si>
  <si>
    <r>
      <t>T</t>
    </r>
    <r>
      <rPr>
        <sz val="11"/>
        <color indexed="8"/>
        <rFont val="宋体"/>
        <family val="3"/>
        <charset val="134"/>
      </rPr>
      <t>ransportation and distribution</t>
    </r>
    <phoneticPr fontId="33" type="noConversion"/>
  </si>
  <si>
    <t>CtL</t>
  </si>
  <si>
    <r>
      <t>C</t>
    </r>
    <r>
      <rPr>
        <sz val="11"/>
        <color indexed="8"/>
        <rFont val="宋体"/>
        <family val="3"/>
        <charset val="134"/>
      </rPr>
      <t>oal to liquid</t>
    </r>
    <phoneticPr fontId="33" type="noConversion"/>
  </si>
  <si>
    <r>
      <t>C</t>
    </r>
    <r>
      <rPr>
        <sz val="11"/>
        <color indexed="8"/>
        <rFont val="宋体"/>
        <family val="3"/>
        <charset val="134"/>
      </rPr>
      <t>TL + CCS</t>
    </r>
    <phoneticPr fontId="33" type="noConversion"/>
  </si>
  <si>
    <t>CtL(CCS)</t>
    <phoneticPr fontId="33" type="noConversion"/>
  </si>
  <si>
    <t>WtP efficiency(%)</t>
    <phoneticPr fontId="9" type="noConversion"/>
  </si>
  <si>
    <t>WTP efficiency (%)</t>
    <phoneticPr fontId="9" type="noConversion"/>
  </si>
  <si>
    <t>WTP efficiency (%)</t>
    <phoneticPr fontId="9" type="noConversion"/>
  </si>
  <si>
    <t>WtP efficiency (%)</t>
    <phoneticPr fontId="9" type="noConversion"/>
  </si>
  <si>
    <t>NG</t>
    <phoneticPr fontId="37" type="noConversion"/>
  </si>
  <si>
    <t>Processing efficiency</t>
    <phoneticPr fontId="37" type="noConversion"/>
  </si>
  <si>
    <t>Extraction efficiency</t>
    <phoneticPr fontId="37" type="noConversion"/>
  </si>
  <si>
    <t>Total</t>
    <phoneticPr fontId="37" type="noConversion"/>
  </si>
  <si>
    <t>Process fuel</t>
    <phoneticPr fontId="37" type="noConversion"/>
  </si>
  <si>
    <t>NG</t>
    <phoneticPr fontId="37" type="noConversion"/>
  </si>
  <si>
    <t>CNG</t>
    <phoneticPr fontId="37" type="noConversion"/>
  </si>
  <si>
    <t>Compression efficiency</t>
    <phoneticPr fontId="37" type="noConversion"/>
  </si>
  <si>
    <t>NG lost</t>
    <phoneticPr fontId="37" type="noConversion"/>
  </si>
  <si>
    <t>electrcity</t>
    <phoneticPr fontId="37" type="noConversion"/>
  </si>
  <si>
    <t>efficiency</t>
    <phoneticPr fontId="37" type="noConversion"/>
  </si>
  <si>
    <t>Process fuel</t>
    <phoneticPr fontId="37" type="noConversion"/>
  </si>
  <si>
    <t>electricity</t>
    <phoneticPr fontId="37" type="noConversion"/>
  </si>
  <si>
    <t>Electricity</t>
    <phoneticPr fontId="37" type="noConversion"/>
  </si>
  <si>
    <t>GTL</t>
    <phoneticPr fontId="37" type="noConversion"/>
  </si>
  <si>
    <t>km</t>
    <phoneticPr fontId="37" type="noConversion"/>
  </si>
  <si>
    <t>海运</t>
    <phoneticPr fontId="37" type="noConversion"/>
  </si>
  <si>
    <t>公路</t>
    <phoneticPr fontId="37" type="noConversion"/>
  </si>
  <si>
    <t xml:space="preserve">feedstock transportation distance </t>
    <phoneticPr fontId="37" type="noConversion"/>
  </si>
  <si>
    <t>GtL T&amp;D</t>
    <phoneticPr fontId="37" type="noConversion"/>
  </si>
  <si>
    <t>同成品油</t>
    <phoneticPr fontId="37" type="noConversion"/>
  </si>
  <si>
    <t>管道</t>
    <phoneticPr fontId="37" type="noConversion"/>
  </si>
  <si>
    <t>管道</t>
    <phoneticPr fontId="37" type="noConversion"/>
  </si>
  <si>
    <t>热值</t>
    <phoneticPr fontId="37" type="noConversion"/>
  </si>
  <si>
    <t>MJ/kg</t>
    <phoneticPr fontId="37" type="noConversion"/>
  </si>
  <si>
    <t>MJ/kg</t>
    <phoneticPr fontId="37" type="noConversion"/>
  </si>
  <si>
    <t>NG开采处理阶段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</si>
  <si>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G运输阶段</t>
    </r>
    <phoneticPr fontId="37" type="noConversion"/>
  </si>
  <si>
    <r>
      <t>N</t>
    </r>
    <r>
      <rPr>
        <sz val="11"/>
        <color indexed="8"/>
        <rFont val="宋体"/>
        <family val="3"/>
        <charset val="134"/>
      </rPr>
      <t>G压缩阶段</t>
    </r>
    <phoneticPr fontId="37" type="noConversion"/>
  </si>
  <si>
    <r>
      <t>得到1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</si>
  <si>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单位</t>
    <phoneticPr fontId="37" type="noConversion"/>
  </si>
  <si>
    <r>
      <t>运输1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</si>
  <si>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得到1MJ</t>
    <phoneticPr fontId="37" type="noConversion"/>
  </si>
  <si>
    <t>直接消耗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</si>
  <si>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</t>
    </r>
    <phoneticPr fontId="37" type="noConversion"/>
  </si>
  <si>
    <t>比例</t>
    <phoneticPr fontId="37" type="noConversion"/>
  </si>
  <si>
    <t>运输能耗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</si>
  <si>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j/tkm</t>
    </r>
    <phoneticPr fontId="37" type="noConversion"/>
  </si>
  <si>
    <t>KJ</t>
    <phoneticPr fontId="37" type="noConversion"/>
  </si>
  <si>
    <t>电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</si>
  <si>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J</t>
    </r>
    <phoneticPr fontId="37" type="noConversion"/>
  </si>
  <si>
    <t>KJ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</si>
  <si>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G-for-</t>
    </r>
    <r>
      <rPr>
        <sz val="11"/>
        <color theme="1"/>
        <rFont val="宋体"/>
        <family val="3"/>
        <charset val="134"/>
        <scheme val="minor"/>
      </rPr>
      <t>CNG transportation distance</t>
    </r>
    <phoneticPr fontId="37" type="noConversion"/>
  </si>
  <si>
    <r>
      <t>NG</t>
    </r>
    <r>
      <rPr>
        <sz val="11"/>
        <color indexed="8"/>
        <rFont val="宋体"/>
        <family val="3"/>
        <charset val="134"/>
      </rPr>
      <t>-for-process fuel</t>
    </r>
    <r>
      <rPr>
        <sz val="11"/>
        <color theme="1"/>
        <rFont val="宋体"/>
        <family val="3"/>
        <charset val="134"/>
        <scheme val="minor"/>
      </rPr>
      <t xml:space="preserve"> transportation</t>
    </r>
    <phoneticPr fontId="37" type="noConversion"/>
  </si>
  <si>
    <t>NG as fuel</t>
    <phoneticPr fontId="37" type="noConversion"/>
  </si>
  <si>
    <t>运输1MJ</t>
    <phoneticPr fontId="37" type="noConversion"/>
  </si>
  <si>
    <t>单位</t>
    <phoneticPr fontId="37" type="noConversion"/>
  </si>
  <si>
    <t>直接消耗</t>
    <phoneticPr fontId="37" type="noConversion"/>
  </si>
  <si>
    <t>转化率</t>
    <phoneticPr fontId="37" type="noConversion"/>
  </si>
  <si>
    <t>得到1MJ产品</t>
    <phoneticPr fontId="37" type="noConversion"/>
  </si>
  <si>
    <t>得到1MJ产品</t>
    <phoneticPr fontId="37" type="noConversion"/>
  </si>
  <si>
    <t>NG</t>
    <phoneticPr fontId="37" type="noConversion"/>
  </si>
  <si>
    <t>电</t>
    <phoneticPr fontId="37" type="noConversion"/>
  </si>
  <si>
    <t>LCA-Coal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</si>
  <si>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CA-NG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</si>
  <si>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CA-Oil</t>
    </r>
    <phoneticPr fontId="37" type="noConversion"/>
  </si>
  <si>
    <t>LCA-PE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</si>
  <si>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CA-CO2</t>
    </r>
    <phoneticPr fontId="37" type="noConversion"/>
  </si>
  <si>
    <r>
      <t>K</t>
    </r>
    <r>
      <rPr>
        <sz val="11"/>
        <color indexed="8"/>
        <rFont val="宋体"/>
        <family val="3"/>
        <charset val="134"/>
      </rPr>
      <t>J/MJ</t>
    </r>
    <phoneticPr fontId="37" type="noConversion"/>
  </si>
  <si>
    <r>
      <t>m</t>
    </r>
    <r>
      <rPr>
        <sz val="11"/>
        <color indexed="8"/>
        <rFont val="宋体"/>
        <family val="3"/>
        <charset val="134"/>
      </rPr>
      <t>g/MJ</t>
    </r>
    <phoneticPr fontId="37" type="noConversion"/>
  </si>
  <si>
    <t>LCA-CH4</t>
    <phoneticPr fontId="37" type="noConversion"/>
  </si>
  <si>
    <t>LCA-N2O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</si>
  <si>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CA-GHG</t>
    </r>
    <phoneticPr fontId="37" type="noConversion"/>
  </si>
  <si>
    <t>g/MJ</t>
    <phoneticPr fontId="37" type="noConversion"/>
  </si>
  <si>
    <r>
      <t>C</t>
    </r>
    <r>
      <rPr>
        <sz val="11"/>
        <color indexed="8"/>
        <rFont val="宋体"/>
        <family val="3"/>
        <charset val="134"/>
      </rPr>
      <t>NG</t>
    </r>
    <phoneticPr fontId="37" type="noConversion"/>
  </si>
  <si>
    <t>NG液化阶段</t>
    <phoneticPr fontId="37" type="noConversion"/>
  </si>
  <si>
    <t>LNG运输阶段</t>
    <phoneticPr fontId="37" type="noConversion"/>
  </si>
  <si>
    <t>LNG输配阶段</t>
    <phoneticPr fontId="37" type="noConversion"/>
  </si>
  <si>
    <t>得到1MJ</t>
    <phoneticPr fontId="37" type="noConversion"/>
  </si>
  <si>
    <t>燃料油</t>
    <phoneticPr fontId="37" type="noConversion"/>
  </si>
  <si>
    <t>柴油</t>
    <phoneticPr fontId="37" type="noConversion"/>
  </si>
  <si>
    <t>运输能耗</t>
    <phoneticPr fontId="37" type="noConversion"/>
  </si>
  <si>
    <r>
      <t>T</t>
    </r>
    <r>
      <rPr>
        <sz val="11"/>
        <color indexed="8"/>
        <rFont val="宋体"/>
        <family val="3"/>
        <charset val="134"/>
      </rPr>
      <t>&amp;D表单</t>
    </r>
    <phoneticPr fontId="37" type="noConversion"/>
  </si>
  <si>
    <t>GTL</t>
    <phoneticPr fontId="37" type="noConversion"/>
  </si>
  <si>
    <t>GTL生产</t>
    <phoneticPr fontId="37" type="noConversion"/>
  </si>
  <si>
    <t>GTL输配阶段</t>
    <phoneticPr fontId="37" type="noConversion"/>
  </si>
  <si>
    <t>使用阶段</t>
    <phoneticPr fontId="37" type="noConversion"/>
  </si>
  <si>
    <t>CNG运输</t>
    <phoneticPr fontId="37" type="noConversion"/>
  </si>
  <si>
    <t>NG，CNG，LNG， GTL</t>
    <phoneticPr fontId="33" type="noConversion"/>
  </si>
  <si>
    <t>LNG</t>
    <phoneticPr fontId="22" type="noConversion"/>
  </si>
  <si>
    <t>GTL</t>
    <phoneticPr fontId="22" type="noConversion"/>
  </si>
  <si>
    <t>热值</t>
    <phoneticPr fontId="38" type="noConversion"/>
  </si>
  <si>
    <t>原油</t>
    <phoneticPr fontId="38" type="noConversion"/>
  </si>
  <si>
    <t>汽油</t>
    <phoneticPr fontId="38" type="noConversion"/>
  </si>
  <si>
    <t>柴油</t>
    <phoneticPr fontId="38" type="noConversion"/>
  </si>
  <si>
    <t>燃料油</t>
    <phoneticPr fontId="38" type="noConversion"/>
  </si>
  <si>
    <r>
      <t>M</t>
    </r>
    <r>
      <rPr>
        <sz val="11"/>
        <color indexed="8"/>
        <rFont val="宋体"/>
        <family val="3"/>
        <charset val="134"/>
      </rPr>
      <t>J/kg</t>
    </r>
    <phoneticPr fontId="38" type="noConversion"/>
  </si>
  <si>
    <t>原油开采、处理效率</t>
    <phoneticPr fontId="38" type="noConversion"/>
  </si>
  <si>
    <t>工艺燃料</t>
    <phoneticPr fontId="38" type="noConversion"/>
  </si>
  <si>
    <t>对应得到1MJ</t>
    <phoneticPr fontId="38" type="noConversion"/>
  </si>
  <si>
    <t>原油运输</t>
    <phoneticPr fontId="38" type="noConversion"/>
  </si>
  <si>
    <t>效率</t>
    <phoneticPr fontId="38" type="noConversion"/>
  </si>
  <si>
    <t>炼制能效</t>
    <phoneticPr fontId="38" type="noConversion"/>
  </si>
  <si>
    <t>%</t>
    <phoneticPr fontId="38" type="noConversion"/>
  </si>
  <si>
    <t>能耗结构</t>
    <phoneticPr fontId="38" type="noConversion"/>
  </si>
  <si>
    <t>成品油运输</t>
    <phoneticPr fontId="38" type="noConversion"/>
  </si>
  <si>
    <r>
      <t>K</t>
    </r>
    <r>
      <rPr>
        <sz val="11"/>
        <color indexed="8"/>
        <rFont val="宋体"/>
        <family val="3"/>
        <charset val="134"/>
      </rPr>
      <t>J/MJ</t>
    </r>
    <phoneticPr fontId="38" type="noConversion"/>
  </si>
  <si>
    <t>柴油</t>
    <phoneticPr fontId="38" type="noConversion"/>
  </si>
  <si>
    <t>燃料油</t>
    <phoneticPr fontId="38" type="noConversion"/>
  </si>
  <si>
    <t>燃料油/CtL/GTL同柴油</t>
    <phoneticPr fontId="9" type="noConversion"/>
  </si>
  <si>
    <t>原油开采处理</t>
    <phoneticPr fontId="38" type="noConversion"/>
  </si>
  <si>
    <t>原油运输</t>
    <phoneticPr fontId="38" type="noConversion"/>
  </si>
  <si>
    <t>柴油炼制</t>
    <phoneticPr fontId="38" type="noConversion"/>
  </si>
  <si>
    <t>柴油输配</t>
    <phoneticPr fontId="38" type="noConversion"/>
  </si>
  <si>
    <t>柴油使用</t>
    <phoneticPr fontId="38" type="noConversion"/>
  </si>
  <si>
    <t>转化率</t>
    <phoneticPr fontId="38" type="noConversion"/>
  </si>
  <si>
    <t>各阶段</t>
    <phoneticPr fontId="38" type="noConversion"/>
  </si>
  <si>
    <t>对应得到1MJ</t>
    <phoneticPr fontId="38" type="noConversion"/>
  </si>
  <si>
    <t>合计</t>
    <phoneticPr fontId="38" type="noConversion"/>
  </si>
  <si>
    <t>汽油炼制</t>
    <phoneticPr fontId="38" type="noConversion"/>
  </si>
  <si>
    <t>汽油输配</t>
    <phoneticPr fontId="38" type="noConversion"/>
  </si>
  <si>
    <t>燃料油</t>
    <phoneticPr fontId="38" type="noConversion"/>
  </si>
  <si>
    <t>燃料油炼制</t>
    <phoneticPr fontId="38" type="noConversion"/>
  </si>
  <si>
    <t>燃料油输配</t>
    <phoneticPr fontId="38" type="noConversion"/>
  </si>
  <si>
    <t>汽油使用</t>
    <phoneticPr fontId="38" type="noConversion"/>
  </si>
  <si>
    <t>燃料油使用</t>
    <phoneticPr fontId="38" type="noConversion"/>
  </si>
  <si>
    <t>碳含量</t>
    <phoneticPr fontId="33" type="noConversion"/>
  </si>
  <si>
    <t>氧化率</t>
    <phoneticPr fontId="33" type="noConversion"/>
  </si>
  <si>
    <t>直接甲烷排放</t>
    <phoneticPr fontId="33" type="noConversion"/>
  </si>
  <si>
    <r>
      <rPr>
        <b/>
        <sz val="11"/>
        <color indexed="8"/>
        <rFont val="宋体"/>
        <family val="3"/>
        <charset val="134"/>
      </rPr>
      <t>直接</t>
    </r>
    <r>
      <rPr>
        <b/>
        <sz val="11"/>
        <color indexed="8"/>
        <rFont val="Times New Roman"/>
        <family val="1"/>
      </rPr>
      <t>N2O</t>
    </r>
    <r>
      <rPr>
        <b/>
        <sz val="11"/>
        <color indexed="8"/>
        <rFont val="宋体"/>
        <family val="3"/>
        <charset val="134"/>
      </rPr>
      <t>排放</t>
    </r>
    <phoneticPr fontId="33" type="noConversion"/>
  </si>
  <si>
    <t>非燃烧甲烷排放</t>
    <phoneticPr fontId="33" type="noConversion"/>
  </si>
  <si>
    <t>mg/MJ</t>
    <phoneticPr fontId="33" type="noConversion"/>
  </si>
  <si>
    <t>能源转化效率</t>
    <phoneticPr fontId="33" type="noConversion"/>
  </si>
  <si>
    <t>能源转化效率</t>
    <phoneticPr fontId="33" type="noConversion"/>
  </si>
  <si>
    <t>比例</t>
    <phoneticPr fontId="33" type="noConversion"/>
  </si>
  <si>
    <r>
      <rPr>
        <b/>
        <sz val="11"/>
        <color indexed="8"/>
        <rFont val="宋体"/>
        <family val="3"/>
        <charset val="134"/>
      </rPr>
      <t>原料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燃料转化效率</t>
    </r>
    <phoneticPr fontId="33" type="noConversion"/>
  </si>
  <si>
    <t>输配效率</t>
    <phoneticPr fontId="26" type="noConversion"/>
  </si>
  <si>
    <t>原煤</t>
    <phoneticPr fontId="38" type="noConversion"/>
  </si>
  <si>
    <t>洗精煤</t>
    <phoneticPr fontId="38" type="noConversion"/>
  </si>
  <si>
    <t>原煤开采、处理效率</t>
    <phoneticPr fontId="38" type="noConversion"/>
  </si>
  <si>
    <t>煤炭运输</t>
    <phoneticPr fontId="38" type="noConversion"/>
  </si>
  <si>
    <t>原煤开采处理</t>
    <phoneticPr fontId="38" type="noConversion"/>
  </si>
  <si>
    <t>煤炭使用</t>
    <phoneticPr fontId="38" type="noConversion"/>
  </si>
  <si>
    <t>南方电网</t>
    <phoneticPr fontId="26" type="noConversion"/>
  </si>
  <si>
    <t>火</t>
    <phoneticPr fontId="26" type="noConversion"/>
  </si>
  <si>
    <t>水</t>
    <phoneticPr fontId="26" type="noConversion"/>
  </si>
  <si>
    <t>核</t>
    <phoneticPr fontId="26" type="noConversion"/>
  </si>
  <si>
    <t>风</t>
    <phoneticPr fontId="26" type="noConversion"/>
  </si>
  <si>
    <t>合计</t>
    <phoneticPr fontId="26" type="noConversion"/>
  </si>
  <si>
    <t>东北电网</t>
    <phoneticPr fontId="26" type="noConversion"/>
  </si>
  <si>
    <t>华北电网</t>
    <phoneticPr fontId="26" type="noConversion"/>
  </si>
  <si>
    <t>南方电网</t>
    <phoneticPr fontId="26" type="noConversion"/>
  </si>
  <si>
    <r>
      <t>根据侯萍2</t>
    </r>
    <r>
      <rPr>
        <sz val="11"/>
        <color indexed="8"/>
        <rFont val="宋体"/>
        <family val="3"/>
        <charset val="134"/>
      </rPr>
      <t>012</t>
    </r>
    <phoneticPr fontId="26" type="noConversion"/>
  </si>
  <si>
    <r>
      <t>gCO</t>
    </r>
    <r>
      <rPr>
        <vertAlign val="subscript"/>
        <sz val="11"/>
        <color indexed="8"/>
        <rFont val="Times New Roman"/>
        <family val="1"/>
      </rPr>
      <t>2,e</t>
    </r>
    <r>
      <rPr>
        <sz val="11"/>
        <color indexed="8"/>
        <rFont val="Times New Roman"/>
        <family val="1"/>
      </rPr>
      <t xml:space="preserve"> /kWh</t>
    </r>
    <phoneticPr fontId="26" type="noConversion"/>
  </si>
  <si>
    <t>东北电网</t>
    <phoneticPr fontId="26" type="noConversion"/>
  </si>
  <si>
    <t>东北电网</t>
    <phoneticPr fontId="26" type="noConversion"/>
  </si>
  <si>
    <t>燃料开采与处理</t>
    <phoneticPr fontId="38" type="noConversion"/>
  </si>
  <si>
    <t>燃料运输</t>
    <phoneticPr fontId="38" type="noConversion"/>
  </si>
  <si>
    <t>使用阶段</t>
    <phoneticPr fontId="38" type="noConversion"/>
  </si>
  <si>
    <t>其中</t>
    <phoneticPr fontId="26" type="noConversion"/>
  </si>
  <si>
    <t>动力煤</t>
    <phoneticPr fontId="38" type="noConversion"/>
  </si>
  <si>
    <t>全国平均</t>
    <phoneticPr fontId="26" type="noConversion"/>
  </si>
  <si>
    <t>燃料制备%</t>
    <phoneticPr fontId="26" type="noConversion"/>
  </si>
  <si>
    <t>燃料运输%</t>
    <phoneticPr fontId="26" type="noConversion"/>
  </si>
  <si>
    <t>燃料燃烧%</t>
    <phoneticPr fontId="26" type="noConversion"/>
  </si>
  <si>
    <t>燃料制备</t>
    <phoneticPr fontId="26" type="noConversion"/>
  </si>
  <si>
    <t>燃料运输</t>
    <phoneticPr fontId="26" type="noConversion"/>
  </si>
  <si>
    <t>燃料燃烧</t>
    <phoneticPr fontId="26" type="noConversion"/>
  </si>
  <si>
    <t>CTL制备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</si>
  <si>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TL输配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</si>
  <si>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TL燃烧</t>
    </r>
    <phoneticPr fontId="9" type="noConversion"/>
  </si>
  <si>
    <r>
      <t>C</t>
    </r>
    <r>
      <rPr>
        <sz val="11"/>
        <color indexed="8"/>
        <rFont val="宋体"/>
        <family val="3"/>
        <charset val="134"/>
      </rPr>
      <t>TL制备</t>
    </r>
    <phoneticPr fontId="9" type="noConversion"/>
  </si>
  <si>
    <t>捕获</t>
    <phoneticPr fontId="9" type="noConversion"/>
  </si>
  <si>
    <r>
      <t>C</t>
    </r>
    <r>
      <rPr>
        <sz val="11"/>
        <color indexed="8"/>
        <rFont val="宋体"/>
        <family val="3"/>
        <charset val="134"/>
      </rPr>
      <t>TL输配</t>
    </r>
    <phoneticPr fontId="9" type="noConversion"/>
  </si>
  <si>
    <t>NG</t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</si>
  <si>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1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</si>
  <si>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2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</si>
  <si>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 transportation distance by truck</t>
    </r>
    <phoneticPr fontId="37" type="noConversion"/>
  </si>
  <si>
    <t>LNG1</t>
    <phoneticPr fontId="37" type="noConversion"/>
  </si>
  <si>
    <r>
      <t>LNG transportation distance</t>
    </r>
    <r>
      <rPr>
        <sz val="11"/>
        <color indexed="8"/>
        <rFont val="宋体"/>
        <family val="3"/>
        <charset val="134"/>
      </rPr>
      <t xml:space="preserve"> by tank from oversea</t>
    </r>
    <phoneticPr fontId="37" type="noConversion"/>
  </si>
  <si>
    <t>LNG2</t>
    <phoneticPr fontId="37" type="noConversion"/>
  </si>
  <si>
    <t>LNG3</t>
    <phoneticPr fontId="37" type="noConversion"/>
  </si>
  <si>
    <t>LNG made from gas-tube after</t>
    <phoneticPr fontId="37" type="noConversion"/>
  </si>
  <si>
    <r>
      <t>k</t>
    </r>
    <r>
      <rPr>
        <sz val="11"/>
        <color indexed="8"/>
        <rFont val="宋体"/>
        <family val="3"/>
        <charset val="134"/>
      </rPr>
      <t>m</t>
    </r>
    <phoneticPr fontId="37" type="noConversion"/>
  </si>
  <si>
    <t>海运</t>
    <phoneticPr fontId="37" type="noConversion"/>
  </si>
  <si>
    <t>公路</t>
    <phoneticPr fontId="37" type="noConversion"/>
  </si>
  <si>
    <t>管道</t>
    <phoneticPr fontId="37" type="noConversion"/>
  </si>
  <si>
    <r>
      <t>N</t>
    </r>
    <r>
      <rPr>
        <sz val="11"/>
        <color indexed="8"/>
        <rFont val="宋体"/>
        <family val="3"/>
        <charset val="134"/>
      </rPr>
      <t>G输配阶段</t>
    </r>
    <phoneticPr fontId="37" type="noConversion"/>
  </si>
  <si>
    <r>
      <t>L</t>
    </r>
    <r>
      <rPr>
        <sz val="11"/>
        <color indexed="8"/>
        <rFont val="宋体"/>
        <family val="3"/>
        <charset val="134"/>
      </rPr>
      <t>NG</t>
    </r>
    <r>
      <rPr>
        <sz val="11"/>
        <color indexed="8"/>
        <rFont val="宋体"/>
        <family val="3"/>
        <charset val="134"/>
      </rPr>
      <t>3</t>
    </r>
    <phoneticPr fontId="37" type="noConversion"/>
  </si>
  <si>
    <t>LNG made in gas field</t>
    <phoneticPr fontId="37" type="noConversion"/>
  </si>
  <si>
    <r>
      <t>运输1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</si>
  <si>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合计</t>
    <phoneticPr fontId="9" type="noConversion"/>
  </si>
  <si>
    <t>NG</t>
    <phoneticPr fontId="26" type="noConversion"/>
  </si>
  <si>
    <t>Oil</t>
    <phoneticPr fontId="26" type="noConversion"/>
  </si>
  <si>
    <t>Coal</t>
    <phoneticPr fontId="26" type="noConversion"/>
  </si>
  <si>
    <t>Nuclear</t>
    <phoneticPr fontId="26" type="noConversion"/>
  </si>
  <si>
    <t>Biomass</t>
    <phoneticPr fontId="26" type="noConversion"/>
  </si>
  <si>
    <t>Others</t>
    <phoneticPr fontId="26" type="noConversion"/>
  </si>
  <si>
    <t>Mixed</t>
    <phoneticPr fontId="26" type="noConversion"/>
  </si>
  <si>
    <t>Feedstock to Fuel</t>
    <phoneticPr fontId="26" type="noConversion"/>
  </si>
  <si>
    <t>Fuel transportation</t>
    <phoneticPr fontId="26" type="noConversion"/>
  </si>
  <si>
    <t>Power generation</t>
    <phoneticPr fontId="26" type="noConversion"/>
  </si>
  <si>
    <r>
      <t>NG</t>
    </r>
    <r>
      <rPr>
        <sz val="11"/>
        <color indexed="8"/>
        <rFont val="宋体"/>
        <family val="3"/>
        <charset val="134"/>
      </rPr>
      <t>-based</t>
    </r>
    <phoneticPr fontId="33" type="noConversion"/>
  </si>
  <si>
    <r>
      <t>O</t>
    </r>
    <r>
      <rPr>
        <sz val="11"/>
        <color indexed="8"/>
        <rFont val="宋体"/>
        <family val="3"/>
        <charset val="134"/>
      </rPr>
      <t>il-based</t>
    </r>
    <phoneticPr fontId="33" type="noConversion"/>
  </si>
  <si>
    <r>
      <t>G</t>
    </r>
    <r>
      <rPr>
        <sz val="11"/>
        <color indexed="8"/>
        <rFont val="宋体"/>
        <family val="3"/>
        <charset val="134"/>
      </rPr>
      <t>asoline, Diesel and Residual oil</t>
    </r>
    <phoneticPr fontId="33" type="noConversion"/>
  </si>
  <si>
    <t>GridE</t>
    <phoneticPr fontId="33" type="noConversion"/>
  </si>
  <si>
    <r>
      <t>G</t>
    </r>
    <r>
      <rPr>
        <sz val="11"/>
        <color indexed="8"/>
        <rFont val="宋体"/>
        <family val="3"/>
        <charset val="134"/>
      </rPr>
      <t>rid electricity</t>
    </r>
    <phoneticPr fontId="33" type="noConversion"/>
  </si>
  <si>
    <t>for</t>
    <phoneticPr fontId="33" type="noConversion"/>
  </si>
  <si>
    <t>中海油</t>
    <phoneticPr fontId="33" type="noConversion"/>
  </si>
  <si>
    <t>LNG分析模块</t>
    <phoneticPr fontId="33" type="noConversion"/>
  </si>
  <si>
    <t>开发人：</t>
    <phoneticPr fontId="33" type="noConversion"/>
  </si>
  <si>
    <t>清华大学</t>
    <phoneticPr fontId="33" type="noConversion"/>
  </si>
  <si>
    <t>中国车用能源研究中心</t>
    <phoneticPr fontId="33" type="noConversion"/>
  </si>
  <si>
    <t>欧训民</t>
    <phoneticPr fontId="33" type="noConversion"/>
  </si>
  <si>
    <t>博士</t>
    <phoneticPr fontId="33" type="noConversion"/>
  </si>
  <si>
    <t>Key Input</t>
    <phoneticPr fontId="33" type="noConversion"/>
  </si>
  <si>
    <t>主要参数输入表</t>
    <phoneticPr fontId="33" type="noConversion"/>
  </si>
  <si>
    <t>天然气路线</t>
    <phoneticPr fontId="40" type="noConversion"/>
  </si>
  <si>
    <t>项目级参数</t>
    <phoneticPr fontId="40" type="noConversion"/>
  </si>
  <si>
    <t>百分比</t>
    <phoneticPr fontId="40" type="noConversion"/>
  </si>
  <si>
    <t>直接进口LNG的液化效率</t>
    <phoneticPr fontId="40" type="noConversion"/>
  </si>
  <si>
    <t>国产NG近井液化效率</t>
    <phoneticPr fontId="40" type="noConversion"/>
  </si>
  <si>
    <t>管输NG出管液化效率</t>
    <phoneticPr fontId="40" type="noConversion"/>
  </si>
  <si>
    <t>NG开采效率</t>
    <phoneticPr fontId="40" type="noConversion"/>
  </si>
  <si>
    <t>NG处理效率</t>
    <phoneticPr fontId="40" type="noConversion"/>
  </si>
  <si>
    <t>百分比</t>
    <phoneticPr fontId="40" type="noConversion"/>
  </si>
  <si>
    <t>默认值</t>
    <phoneticPr fontId="37" type="noConversion"/>
  </si>
  <si>
    <t>CNG压缩效率</t>
    <phoneticPr fontId="40" type="noConversion"/>
  </si>
  <si>
    <t>CNG压缩前管输距离</t>
    <phoneticPr fontId="40" type="noConversion"/>
  </si>
  <si>
    <t>公里</t>
    <phoneticPr fontId="40" type="noConversion"/>
  </si>
  <si>
    <t>LNG输配距离</t>
    <phoneticPr fontId="40" type="noConversion"/>
  </si>
  <si>
    <t>LNG海运距离</t>
    <phoneticPr fontId="40" type="noConversion"/>
  </si>
  <si>
    <t>液化前管输距离</t>
    <phoneticPr fontId="40" type="noConversion"/>
  </si>
  <si>
    <t>GTL生产效率</t>
    <phoneticPr fontId="40" type="noConversion"/>
  </si>
  <si>
    <t>百分比</t>
    <phoneticPr fontId="40" type="noConversion"/>
  </si>
  <si>
    <t>液化效率efficiency</t>
    <phoneticPr fontId="37" type="noConversion"/>
  </si>
  <si>
    <t>液化效率</t>
    <phoneticPr fontId="37" type="noConversion"/>
  </si>
  <si>
    <t>所有LNG</t>
    <phoneticPr fontId="37" type="noConversion"/>
  </si>
  <si>
    <t>主要结果输出表</t>
    <phoneticPr fontId="33" type="noConversion"/>
  </si>
  <si>
    <t>天然气路线</t>
    <phoneticPr fontId="40" type="noConversion"/>
  </si>
  <si>
    <t>石油基路线</t>
    <phoneticPr fontId="40" type="noConversion"/>
  </si>
  <si>
    <t>电力路线</t>
    <phoneticPr fontId="40" type="noConversion"/>
  </si>
  <si>
    <t>石油基路线</t>
    <phoneticPr fontId="40" type="noConversion"/>
  </si>
  <si>
    <t>汽油</t>
    <phoneticPr fontId="40" type="noConversion"/>
  </si>
  <si>
    <t>MJ/MJ</t>
    <phoneticPr fontId="40" type="noConversion"/>
  </si>
  <si>
    <t>g/MJ</t>
    <phoneticPr fontId="40" type="noConversion"/>
  </si>
  <si>
    <t>mg/MJ</t>
    <phoneticPr fontId="40" type="noConversion"/>
  </si>
  <si>
    <t>其中：CO2</t>
    <phoneticPr fontId="26" type="noConversion"/>
  </si>
  <si>
    <t>CH4</t>
    <phoneticPr fontId="26" type="noConversion"/>
  </si>
  <si>
    <t>N2O</t>
    <phoneticPr fontId="26" type="noConversion"/>
  </si>
  <si>
    <t>电力路线</t>
    <phoneticPr fontId="40" type="noConversion"/>
  </si>
  <si>
    <t>其中</t>
    <phoneticPr fontId="40" type="noConversion"/>
  </si>
  <si>
    <t>合计</t>
    <phoneticPr fontId="40" type="noConversion"/>
  </si>
  <si>
    <t>合计</t>
    <phoneticPr fontId="40" type="noConversion"/>
  </si>
  <si>
    <t>NG开采CH4逸散比例</t>
    <phoneticPr fontId="40" type="noConversion"/>
  </si>
  <si>
    <t>煤炭</t>
    <phoneticPr fontId="40" type="noConversion"/>
  </si>
  <si>
    <t>天然气</t>
    <phoneticPr fontId="40" type="noConversion"/>
  </si>
  <si>
    <t>石油</t>
    <phoneticPr fontId="40" type="noConversion"/>
  </si>
  <si>
    <t>一次能源总计</t>
    <phoneticPr fontId="40" type="noConversion"/>
  </si>
  <si>
    <t>二氧化碳</t>
    <phoneticPr fontId="40" type="noConversion"/>
  </si>
  <si>
    <t>甲烷</t>
    <phoneticPr fontId="40" type="noConversion"/>
  </si>
  <si>
    <t>氧化二氮</t>
    <phoneticPr fontId="40" type="noConversion"/>
  </si>
  <si>
    <t>GHG合计</t>
    <phoneticPr fontId="40" type="noConversion"/>
  </si>
  <si>
    <t>Coal</t>
    <phoneticPr fontId="33" type="noConversion"/>
  </si>
  <si>
    <t>国产气田产LNG</t>
    <phoneticPr fontId="40" type="noConversion"/>
  </si>
  <si>
    <t>管输气产LNG</t>
    <phoneticPr fontId="40" type="noConversion"/>
  </si>
  <si>
    <t>进口LNG</t>
    <phoneticPr fontId="40" type="noConversion"/>
  </si>
  <si>
    <t>原煤</t>
    <phoneticPr fontId="33" type="noConversion"/>
  </si>
  <si>
    <r>
      <t>得到1</t>
    </r>
    <r>
      <rPr>
        <sz val="11"/>
        <color indexed="8"/>
        <rFont val="宋体"/>
        <family val="3"/>
        <charset val="134"/>
      </rPr>
      <t>MJ</t>
    </r>
    <phoneticPr fontId="37" type="noConversion"/>
  </si>
  <si>
    <t>供电效率</t>
    <phoneticPr fontId="26" type="noConversion"/>
  </si>
  <si>
    <t>Result for LNG 船用</t>
    <phoneticPr fontId="61" type="noConversion"/>
  </si>
  <si>
    <t>LNG船用结果</t>
  </si>
  <si>
    <t>Result for LNG 商用车用</t>
    <phoneticPr fontId="61" type="noConversion"/>
  </si>
  <si>
    <t xml:space="preserve">LNG商用车结果 </t>
  </si>
  <si>
    <t>主要参数输入表</t>
    <phoneticPr fontId="9" type="noConversion"/>
  </si>
  <si>
    <t>Description</t>
    <phoneticPr fontId="9" type="noConversion"/>
  </si>
  <si>
    <t>Sheet Name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</si>
  <si>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mail: ouxm@mail.tsinghua.edu.cn</t>
    </r>
    <phoneticPr fontId="9" type="noConversion"/>
  </si>
  <si>
    <t>博士</t>
    <phoneticPr fontId="9" type="noConversion"/>
  </si>
  <si>
    <t>欧训民</t>
    <phoneticPr fontId="9" type="noConversion"/>
  </si>
  <si>
    <t>中国车用能源研究中心</t>
    <phoneticPr fontId="9" type="noConversion"/>
  </si>
  <si>
    <t>清华大学</t>
    <phoneticPr fontId="9" type="noConversion"/>
  </si>
  <si>
    <t>开发人：</t>
    <phoneticPr fontId="9" type="noConversion"/>
  </si>
  <si>
    <t>LNG分析模块-2</t>
    <phoneticPr fontId="9" type="noConversion"/>
  </si>
  <si>
    <t>中海油</t>
    <phoneticPr fontId="9" type="noConversion"/>
  </si>
  <si>
    <t>for</t>
    <phoneticPr fontId="9" type="noConversion"/>
  </si>
  <si>
    <t>China energy LCA Model (TLCAM)</t>
    <phoneticPr fontId="9" type="noConversion"/>
  </si>
  <si>
    <r>
      <t>[1]</t>
    </r>
    <r>
      <rPr>
        <u/>
        <sz val="11"/>
        <color theme="10"/>
        <rFont val="宋体"/>
        <family val="3"/>
        <charset val="134"/>
        <scheme val="minor"/>
      </rPr>
      <t xml:space="preserve"> DNV的分析认为，采用液化天然气作为燃料，是一项耗资成本低、安全环保的最佳路径，LNG作为船用燃油的环境效益非常显著，它几乎可以100%减排硫氧化物、没有颗粒、减少85%-90%氮氧化物和15%-20% CO2的排放。</t>
    </r>
  </si>
  <si>
    <r>
      <t>根据柴油、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的低热值</t>
    </r>
    <r>
      <rPr>
        <sz val="12"/>
        <color theme="1"/>
        <rFont val="Times New Roman"/>
        <family val="1"/>
      </rPr>
      <t>(42.8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48.6MJ/kg)</t>
    </r>
    <r>
      <rPr>
        <sz val="12"/>
        <color theme="1"/>
        <rFont val="宋体"/>
        <family val="3"/>
        <charset val="134"/>
      </rPr>
      <t>和碳含量（</t>
    </r>
    <r>
      <rPr>
        <sz val="12"/>
        <color theme="1"/>
        <rFont val="Times New Roman"/>
        <family val="1"/>
      </rPr>
      <t>86.5%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75%</t>
    </r>
    <r>
      <rPr>
        <sz val="12"/>
        <color theme="1"/>
        <rFont val="宋体"/>
        <family val="3"/>
        <charset val="134"/>
      </rPr>
      <t>），可以测算出，船用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</rPr>
      <t>相对柴油所额外耗能比例为</t>
    </r>
    <r>
      <rPr>
        <sz val="12"/>
        <color theme="1"/>
        <rFont val="Times New Roman"/>
        <family val="1"/>
      </rPr>
      <t>5-15%</t>
    </r>
    <r>
      <rPr>
        <sz val="12"/>
        <color theme="1"/>
        <rFont val="宋体"/>
        <family val="3"/>
        <charset val="134"/>
      </rPr>
      <t>。</t>
    </r>
    <phoneticPr fontId="61" type="noConversion"/>
  </si>
  <si>
    <t>文献结果下限</t>
    <phoneticPr fontId="61" type="noConversion"/>
  </si>
  <si>
    <r>
      <t>经过文献分析，一般认为</t>
    </r>
    <r>
      <rPr>
        <u/>
        <sz val="11"/>
        <color theme="10"/>
        <rFont val="宋体"/>
        <family val="3"/>
        <charset val="134"/>
        <scheme val="minor"/>
      </rPr>
      <t>LNG相对柴油，可以减排15%-20%[1]。</t>
    </r>
    <phoneticPr fontId="61" type="noConversion"/>
  </si>
  <si>
    <t>文献结果上限</t>
    <phoneticPr fontId="61" type="noConversion"/>
  </si>
  <si>
    <t>LNG</t>
    <phoneticPr fontId="61" type="noConversion"/>
  </si>
  <si>
    <t>柴油=100，则</t>
    <phoneticPr fontId="61" type="noConversion"/>
  </si>
  <si>
    <t>单位距离耗能比</t>
    <phoneticPr fontId="61" type="noConversion"/>
  </si>
  <si>
    <t>关键参数</t>
    <phoneticPr fontId="61" type="noConversion"/>
  </si>
  <si>
    <t>船用</t>
    <phoneticPr fontId="61" type="noConversion"/>
  </si>
  <si>
    <r>
      <t>引用来源：</t>
    </r>
    <r>
      <rPr>
        <u/>
        <sz val="11"/>
        <color theme="10"/>
        <rFont val="宋体"/>
        <family val="3"/>
        <charset val="134"/>
        <scheme val="minor"/>
      </rPr>
      <t>http://wenku.baidu.com/view/75a1357e168884868762d6ba.html###。</t>
    </r>
    <phoneticPr fontId="61" type="noConversion"/>
  </si>
  <si>
    <r>
      <t>如果根据华润项目提到重卡百公里耗柴油</t>
    </r>
    <r>
      <rPr>
        <sz val="12"/>
        <color theme="1"/>
        <rFont val="Times New Roman"/>
        <family val="1"/>
      </rPr>
      <t>38</t>
    </r>
    <r>
      <rPr>
        <sz val="12"/>
        <color theme="1"/>
        <rFont val="宋体"/>
        <family val="3"/>
        <charset val="134"/>
      </rPr>
      <t>升或者</t>
    </r>
    <r>
      <rPr>
        <sz val="12"/>
        <color theme="1"/>
        <rFont val="Times New Roman"/>
        <family val="1"/>
      </rPr>
      <t>LNG 50</t>
    </r>
    <r>
      <rPr>
        <sz val="12"/>
        <color theme="1"/>
        <rFont val="宋体"/>
        <family val="3"/>
        <charset val="134"/>
      </rPr>
      <t>升，可以得知油气替代比为</t>
    </r>
    <r>
      <rPr>
        <sz val="12"/>
        <color theme="1"/>
        <rFont val="Times New Roman"/>
        <family val="1"/>
      </rPr>
      <t>78: 100</t>
    </r>
    <r>
      <rPr>
        <sz val="12"/>
        <color theme="1"/>
        <rFont val="宋体"/>
        <family val="3"/>
        <charset val="134"/>
      </rPr>
      <t>（净能值）。</t>
    </r>
    <phoneticPr fontId="61" type="noConversion"/>
  </si>
  <si>
    <t>文献结果下限</t>
    <phoneticPr fontId="61" type="noConversion"/>
  </si>
  <si>
    <r>
      <t>根据（</t>
    </r>
    <r>
      <rPr>
        <sz val="12"/>
        <color rgb="FFFF0000"/>
        <rFont val="宋体"/>
        <family val="3"/>
        <charset val="134"/>
        <scheme val="minor"/>
      </rPr>
      <t>汤湘华</t>
    </r>
    <r>
      <rPr>
        <sz val="12"/>
        <color rgb="FFFF0000"/>
        <rFont val="Times New Roman"/>
        <family val="1"/>
      </rPr>
      <t xml:space="preserve"> </t>
    </r>
    <r>
      <rPr>
        <sz val="12"/>
        <color rgb="FFFF0000"/>
        <rFont val="宋体"/>
        <family val="3"/>
        <charset val="134"/>
        <scheme val="minor"/>
      </rPr>
      <t>等）</t>
    </r>
    <r>
      <rPr>
        <sz val="12"/>
        <color rgb="FFFF0000"/>
        <rFont val="Times New Roman"/>
        <family val="1"/>
      </rPr>
      <t>2011</t>
    </r>
    <r>
      <rPr>
        <sz val="12"/>
        <color rgb="FFFF0000"/>
        <rFont val="宋体"/>
        <family val="3"/>
        <charset val="134"/>
        <scheme val="minor"/>
      </rPr>
      <t>阐述有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立方</t>
    </r>
    <r>
      <rPr>
        <sz val="12"/>
        <color theme="1"/>
        <rFont val="Times New Roman"/>
        <family val="1"/>
      </rPr>
      <t>LNG</t>
    </r>
    <r>
      <rPr>
        <sz val="12"/>
        <color theme="1"/>
        <rFont val="宋体"/>
        <family val="3"/>
        <charset val="134"/>
        <scheme val="minor"/>
      </rPr>
      <t>与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  <scheme val="minor"/>
      </rPr>
      <t>吨柴油的对应关系，可以得知油气替代比为</t>
    </r>
    <r>
      <rPr>
        <sz val="12"/>
        <color theme="1"/>
        <rFont val="Times New Roman"/>
        <family val="1"/>
      </rPr>
      <t>90: 100</t>
    </r>
    <r>
      <rPr>
        <sz val="12"/>
        <color theme="1"/>
        <rFont val="宋体"/>
        <family val="3"/>
        <charset val="134"/>
        <scheme val="minor"/>
      </rPr>
      <t>（净能值）。</t>
    </r>
    <phoneticPr fontId="61" type="noConversion"/>
  </si>
  <si>
    <t>文献结果上限</t>
    <phoneticPr fontId="61" type="noConversion"/>
  </si>
  <si>
    <t>商用车</t>
    <phoneticPr fontId="61" type="noConversion"/>
  </si>
  <si>
    <t>Concave2004 P 19:汽油1.9MJ/km;柴油1.72MJ/km,得到能柴汽油耗比为0.91</t>
    <phoneticPr fontId="61" type="noConversion"/>
  </si>
  <si>
    <t>ouxm</t>
    <phoneticPr fontId="61" type="noConversion"/>
  </si>
  <si>
    <t>LNG：</t>
    <phoneticPr fontId="61" type="noConversion"/>
  </si>
  <si>
    <t>如汽油=100</t>
    <phoneticPr fontId="61" type="noConversion"/>
  </si>
  <si>
    <t>王霞2011：公交车32标方天然气（LNG状态）对应28L柴油，得到耗能比为1.11</t>
    <phoneticPr fontId="61" type="noConversion"/>
  </si>
  <si>
    <t>ouxm:</t>
  </si>
  <si>
    <t>汽油=100，则</t>
    <phoneticPr fontId="61" type="noConversion"/>
  </si>
  <si>
    <t>如柴油=100</t>
    <phoneticPr fontId="61" type="noConversion"/>
  </si>
  <si>
    <t>费托生物柴油汽车</t>
    <phoneticPr fontId="61" type="noConversion"/>
  </si>
  <si>
    <t>小桐子生物柴油汽车</t>
    <phoneticPr fontId="61" type="noConversion"/>
  </si>
  <si>
    <t>废弃油生物柴油汽车</t>
    <phoneticPr fontId="61" type="noConversion"/>
  </si>
  <si>
    <t>草本二代生物燃料汽车</t>
    <phoneticPr fontId="61" type="noConversion"/>
  </si>
  <si>
    <t>木本二代生物燃料汽车</t>
    <phoneticPr fontId="61" type="noConversion"/>
  </si>
  <si>
    <t>甜高粱乙醇汽车</t>
    <phoneticPr fontId="61" type="noConversion"/>
  </si>
  <si>
    <t>木薯乙醇汽车</t>
    <phoneticPr fontId="61" type="noConversion"/>
  </si>
  <si>
    <t>玉米乙醇汽车</t>
    <phoneticPr fontId="61" type="noConversion"/>
  </si>
  <si>
    <t>纯电动汽车（煤电IGCC+CCS）</t>
    <phoneticPr fontId="61" type="noConversion"/>
  </si>
  <si>
    <t>纯电动汽车（生物质电）</t>
    <phoneticPr fontId="61" type="noConversion"/>
  </si>
  <si>
    <t>纯电动汽车（大水电）</t>
    <phoneticPr fontId="61" type="noConversion"/>
  </si>
  <si>
    <t>纯电动汽车（核电）</t>
    <phoneticPr fontId="61" type="noConversion"/>
  </si>
  <si>
    <t>纯电动汽车（气电）</t>
    <phoneticPr fontId="61" type="noConversion"/>
  </si>
  <si>
    <t>纯电动汽车（油电）</t>
    <phoneticPr fontId="61" type="noConversion"/>
  </si>
  <si>
    <t>纯电动汽车（煤电）</t>
    <phoneticPr fontId="61" type="noConversion"/>
  </si>
  <si>
    <t>纯电动汽车（网电）</t>
    <phoneticPr fontId="61" type="noConversion"/>
  </si>
  <si>
    <t>ICTL（煤基+CCS）汽车</t>
    <phoneticPr fontId="61" type="noConversion"/>
  </si>
  <si>
    <t>CTL（煤基+CCS）汽车</t>
    <phoneticPr fontId="61" type="noConversion"/>
  </si>
  <si>
    <t>DME（煤基+CCS）汽车</t>
    <phoneticPr fontId="61" type="noConversion"/>
  </si>
  <si>
    <t>甲醇（煤基+CCS）汽车</t>
    <phoneticPr fontId="61" type="noConversion"/>
  </si>
  <si>
    <t>ICTL（煤基）汽车</t>
    <phoneticPr fontId="61" type="noConversion"/>
  </si>
  <si>
    <t>CTL（煤基）汽车</t>
    <phoneticPr fontId="61" type="noConversion"/>
  </si>
  <si>
    <t>DME（煤基）汽车</t>
    <phoneticPr fontId="61" type="noConversion"/>
  </si>
  <si>
    <t>甲醇（煤基）汽车</t>
    <phoneticPr fontId="61" type="noConversion"/>
  </si>
  <si>
    <t>GTL车</t>
    <phoneticPr fontId="61" type="noConversion"/>
  </si>
  <si>
    <t>LNG车(管道气液化)</t>
    <phoneticPr fontId="61" type="noConversion"/>
  </si>
  <si>
    <t>LNG车(井口液化)</t>
    <phoneticPr fontId="61" type="noConversion"/>
  </si>
  <si>
    <t>LNG车(海外进口)</t>
    <phoneticPr fontId="61" type="noConversion"/>
  </si>
  <si>
    <t>CNG车</t>
    <phoneticPr fontId="61" type="noConversion"/>
  </si>
  <si>
    <t>LPG车</t>
    <phoneticPr fontId="61" type="noConversion"/>
  </si>
  <si>
    <t>柴油车</t>
    <phoneticPr fontId="61" type="noConversion"/>
  </si>
  <si>
    <t>汽油车</t>
    <phoneticPr fontId="61" type="noConversion"/>
  </si>
  <si>
    <t>全面比较</t>
    <phoneticPr fontId="61" type="noConversion"/>
  </si>
  <si>
    <t>减碳</t>
    <phoneticPr fontId="61" type="noConversion"/>
  </si>
  <si>
    <t>节能</t>
    <phoneticPr fontId="61" type="noConversion"/>
  </si>
  <si>
    <t>气体燃料</t>
    <phoneticPr fontId="61" type="noConversion"/>
  </si>
  <si>
    <t>全面比较</t>
    <phoneticPr fontId="61" type="noConversion"/>
  </si>
  <si>
    <t>-</t>
    <phoneticPr fontId="61" type="noConversion"/>
  </si>
  <si>
    <t>柴油车</t>
    <phoneticPr fontId="61" type="noConversion"/>
  </si>
  <si>
    <t>柴油=100</t>
    <phoneticPr fontId="61" type="noConversion"/>
  </si>
  <si>
    <r>
      <t>g CO</t>
    </r>
    <r>
      <rPr>
        <vertAlign val="subscript"/>
        <sz val="11"/>
        <color theme="1"/>
        <rFont val="宋体"/>
        <family val="3"/>
        <charset val="134"/>
        <scheme val="minor"/>
      </rPr>
      <t>2,e</t>
    </r>
    <r>
      <rPr>
        <sz val="11"/>
        <color theme="1"/>
        <rFont val="宋体"/>
        <family val="3"/>
        <charset val="134"/>
        <scheme val="minor"/>
      </rPr>
      <t>/MJ</t>
    </r>
    <phoneticPr fontId="61" type="noConversion"/>
  </si>
  <si>
    <t>减碳比例</t>
    <phoneticPr fontId="61" type="noConversion"/>
  </si>
  <si>
    <t>单位距离能耗</t>
    <phoneticPr fontId="61" type="noConversion"/>
  </si>
  <si>
    <t>WTW GHG</t>
    <phoneticPr fontId="61" type="noConversion"/>
  </si>
  <si>
    <t>文献结果下限</t>
    <phoneticPr fontId="61" type="noConversion"/>
  </si>
  <si>
    <t>文献结果上限</t>
    <phoneticPr fontId="61" type="noConversion"/>
  </si>
  <si>
    <t>柴油船</t>
    <phoneticPr fontId="61" type="noConversion"/>
  </si>
  <si>
    <t>LNG船（管道气液化）</t>
    <phoneticPr fontId="61" type="noConversion"/>
  </si>
  <si>
    <t>LNG船（进口液化）</t>
    <phoneticPr fontId="61" type="noConversion"/>
  </si>
  <si>
    <t>LNG船（海外进口）</t>
    <phoneticPr fontId="61" type="noConversion"/>
  </si>
  <si>
    <t>柴油=100</t>
    <phoneticPr fontId="61" type="noConversion"/>
  </si>
  <si>
    <r>
      <t>g CO</t>
    </r>
    <r>
      <rPr>
        <vertAlign val="subscript"/>
        <sz val="11"/>
        <color theme="1"/>
        <rFont val="宋体"/>
        <family val="3"/>
        <charset val="134"/>
        <scheme val="minor"/>
      </rPr>
      <t>2,e</t>
    </r>
    <r>
      <rPr>
        <sz val="11"/>
        <color theme="1"/>
        <rFont val="宋体"/>
        <family val="3"/>
        <charset val="134"/>
        <scheme val="minor"/>
      </rPr>
      <t>/MJ</t>
    </r>
    <phoneticPr fontId="61" type="noConversion"/>
  </si>
  <si>
    <t>减碳比例</t>
    <phoneticPr fontId="61" type="noConversion"/>
  </si>
  <si>
    <t>单位距离能耗</t>
    <phoneticPr fontId="61" type="noConversion"/>
  </si>
  <si>
    <t>WTW GHG</t>
    <phoneticPr fontId="61" type="noConversion"/>
  </si>
  <si>
    <t>文献结果下限</t>
    <phoneticPr fontId="61" type="noConversion"/>
  </si>
  <si>
    <t>文献结果上限</t>
    <phoneticPr fontId="61" type="noConversion"/>
  </si>
  <si>
    <t>排放</t>
    <phoneticPr fontId="61" type="noConversion"/>
  </si>
  <si>
    <t>能耗</t>
    <phoneticPr fontId="61" type="noConversion"/>
  </si>
  <si>
    <t>相对柴油车</t>
    <phoneticPr fontId="61" type="noConversion"/>
  </si>
  <si>
    <t>相对汽油车</t>
    <phoneticPr fontId="61" type="noConversion"/>
  </si>
  <si>
    <t>FCV-Hydrogen</t>
  </si>
  <si>
    <t>SI PHEV-ICE mode-gasoline</t>
    <phoneticPr fontId="61" type="noConversion"/>
  </si>
  <si>
    <t>SI PHEV-Electricity</t>
  </si>
  <si>
    <t>EV-Electricity</t>
  </si>
  <si>
    <t>CI HEV-Liquid fuel-diesel</t>
    <phoneticPr fontId="61" type="noConversion"/>
  </si>
  <si>
    <t>CI ICE-Biodiesel</t>
  </si>
  <si>
    <t>CI ICE-DME</t>
  </si>
  <si>
    <t>CI ICE-Diesel</t>
  </si>
  <si>
    <t>Energy save 25%</t>
  </si>
  <si>
    <t>SI HEV-Hydrogen</t>
  </si>
  <si>
    <t>Oil save 30%</t>
  </si>
  <si>
    <t>SI HEV-Liquid fuel-gasoline</t>
    <phoneticPr fontId="61" type="noConversion"/>
  </si>
  <si>
    <t>SI ICE-Hydrogen</t>
  </si>
  <si>
    <t>FFV-Ethanol</t>
  </si>
  <si>
    <t>SI ICE-Ethanol</t>
  </si>
  <si>
    <t>FFV-Methanol</t>
  </si>
  <si>
    <t>SI ICE-Methanol</t>
  </si>
  <si>
    <t>SI ICE-LPG</t>
  </si>
  <si>
    <t>SI ICE-LNG</t>
  </si>
  <si>
    <t>SI ICE-CNG</t>
  </si>
  <si>
    <t>SI ICE-Gasoline</t>
  </si>
  <si>
    <t>MJ/100kmfor gasoline vehicle</t>
    <phoneticPr fontId="61" type="noConversion"/>
  </si>
  <si>
    <t xml:space="preserve">energy consumption （liter/m3/kwh）for 100km </t>
    <phoneticPr fontId="61" type="noConversion"/>
  </si>
  <si>
    <t xml:space="preserve">energy consumption （kg）for 100km </t>
    <phoneticPr fontId="61" type="noConversion"/>
  </si>
  <si>
    <t>Density: kg/liter or kg/m3</t>
    <phoneticPr fontId="61" type="noConversion"/>
  </si>
  <si>
    <t>LHV:MJ/kg</t>
    <phoneticPr fontId="61" type="noConversion"/>
  </si>
  <si>
    <t>Energy consumption per unit distance</t>
  </si>
  <si>
    <t>FCV-Hydrogen from coal (CCS)</t>
  </si>
  <si>
    <t>FCV-Hydrogen from nuclear</t>
  </si>
  <si>
    <t>FCV-Hydrogen from biomass</t>
  </si>
  <si>
    <t>FCV-Hydrogen from water electrolysis</t>
  </si>
  <si>
    <t>FCV-Hydrogen from coal</t>
  </si>
  <si>
    <t>Hydrogen on site production (liquid)</t>
  </si>
  <si>
    <t>FCV-Hydrogen from natural gas</t>
  </si>
  <si>
    <t>Hydrogen centralized production (gas)</t>
  </si>
  <si>
    <t>gas</t>
    <phoneticPr fontId="61" type="noConversion"/>
  </si>
  <si>
    <t>petroleum</t>
    <phoneticPr fontId="61" type="noConversion"/>
  </si>
  <si>
    <t>coal</t>
    <phoneticPr fontId="61" type="noConversion"/>
  </si>
  <si>
    <t>Output/Input</t>
  </si>
  <si>
    <t>65% coal, 30% hydro, 5% nuclear</t>
  </si>
  <si>
    <t>BEV-Grid power (South)</t>
  </si>
  <si>
    <t>88% coal, 7% hydro, 5% nuclear</t>
  </si>
  <si>
    <t>BEV-Grid power (East)</t>
  </si>
  <si>
    <t>74% coal, 26% hydro</t>
  </si>
  <si>
    <t>BEV-Grid power (Central)</t>
  </si>
  <si>
    <t>77% coal, 22% hydro, 1% wind</t>
  </si>
  <si>
    <t>BEV-Grid power (Northwest)</t>
  </si>
  <si>
    <t>98% coal, 1% hydro, 1% wind</t>
  </si>
  <si>
    <t>BEV-Grid power (North)</t>
  </si>
  <si>
    <t>95% coal, 4% hydro, 1% wind</t>
  </si>
  <si>
    <t>BEV-Grid power (Northeast)</t>
  </si>
  <si>
    <t>Same with Grid</t>
  </si>
  <si>
    <t>50km</t>
    <phoneticPr fontId="61" type="noConversion"/>
  </si>
  <si>
    <t>Coal extraction and washing (97%,95%)</t>
  </si>
  <si>
    <t>BEV-Coal power(IGCC+CCS)</t>
  </si>
  <si>
    <t>BEV-Biopower</t>
  </si>
  <si>
    <t>BEV-Large Hydro power</t>
  </si>
  <si>
    <t>BEV-Nuclear power</t>
  </si>
  <si>
    <t>BEV-Gas power</t>
  </si>
  <si>
    <t>BEV-Oil power</t>
  </si>
  <si>
    <t>BEV-Coal power</t>
  </si>
  <si>
    <t>BEV-Grid power (22.5 KWh/100km)</t>
  </si>
  <si>
    <t>BEV-Grid power (16 KWh/100km)</t>
  </si>
  <si>
    <t>BEV-Grid power (14 KWh/100km)</t>
  </si>
  <si>
    <t>CI ICE-BTL (F-T) biodiesel</t>
  </si>
  <si>
    <t>CI ICE-Jatropha biodiesel</t>
  </si>
  <si>
    <t>CI ICE-Waste oil biodiesel</t>
  </si>
  <si>
    <t>SI ICE-Herbaceous ethanol</t>
  </si>
  <si>
    <t>SI ICE-Woody ethanol</t>
  </si>
  <si>
    <t>SI ICE-Sweet sorghum ethanol</t>
  </si>
  <si>
    <t>SI ICE-Cassava ethanol</t>
  </si>
  <si>
    <t>SI ICE-Corn ethanol</t>
  </si>
  <si>
    <t>Same with diesel</t>
  </si>
  <si>
    <t>50km</t>
    <phoneticPr fontId="61" type="noConversion"/>
  </si>
  <si>
    <t>Coal extraction and washing(97%,95%)</t>
  </si>
  <si>
    <t>CI ICE-ICTL(CCS)</t>
  </si>
  <si>
    <t>CI ICE-CTL(CCS)</t>
  </si>
  <si>
    <t>SI ICE-DME from coal (CCS)</t>
  </si>
  <si>
    <t>Same with gasoline</t>
  </si>
  <si>
    <t>50km</t>
    <phoneticPr fontId="61" type="noConversion"/>
  </si>
  <si>
    <t>SI ICE-Methanol from coal (CCS)</t>
  </si>
  <si>
    <t>50km</t>
    <phoneticPr fontId="61" type="noConversion"/>
  </si>
  <si>
    <t>CI ICE-ICTL</t>
  </si>
  <si>
    <t>50km</t>
    <phoneticPr fontId="61" type="noConversion"/>
  </si>
  <si>
    <t>CI ICE-CTL</t>
  </si>
  <si>
    <t>SI ICE-DME from coal</t>
  </si>
  <si>
    <t>SI ICE-Methanol from coal</t>
  </si>
  <si>
    <t>100km</t>
    <phoneticPr fontId="61" type="noConversion"/>
  </si>
  <si>
    <t>Extraction of natural gas(96%,94%)</t>
  </si>
  <si>
    <t>CI ICE-GTL</t>
  </si>
  <si>
    <t>SI ICE-LNG3</t>
    <phoneticPr fontId="61" type="noConversion"/>
  </si>
  <si>
    <t>SI ICE-LNG2</t>
    <phoneticPr fontId="61" type="noConversion"/>
  </si>
  <si>
    <t>Ocean transport (100km)</t>
  </si>
  <si>
    <t>6700km</t>
    <phoneticPr fontId="61" type="noConversion"/>
  </si>
  <si>
    <t>SI ICE-LNG1</t>
    <phoneticPr fontId="61" type="noConversion"/>
  </si>
  <si>
    <t>Use nearby</t>
  </si>
  <si>
    <t>300km</t>
    <phoneticPr fontId="61" type="noConversion"/>
  </si>
  <si>
    <t>Extraction of crude oil (93%,98%)</t>
  </si>
  <si>
    <t>SI ICE-Gasoline (4.5L/100km)</t>
  </si>
  <si>
    <t>SI ICE-Gasoline (5.9L/100km)</t>
  </si>
  <si>
    <t>SI ICE-Gasoline (5.7L/100km)</t>
  </si>
  <si>
    <t>SI ICE-Gasoline (8.2L/100km)</t>
  </si>
  <si>
    <t>SI ICE-Gasoline (7.7L/100km)</t>
  </si>
  <si>
    <t>SI ICE-Gasoline (8L/100km)</t>
  </si>
  <si>
    <t>(g CO2e/km)</t>
    <phoneticPr fontId="61" type="noConversion"/>
  </si>
  <si>
    <t>(MJ/km)</t>
    <phoneticPr fontId="61" type="noConversion"/>
  </si>
  <si>
    <t>MJ/km</t>
    <phoneticPr fontId="61" type="noConversion"/>
  </si>
  <si>
    <t>MJ/MJ</t>
    <phoneticPr fontId="61" type="noConversion"/>
  </si>
  <si>
    <t>%</t>
    <phoneticPr fontId="61" type="noConversion"/>
  </si>
  <si>
    <t>Compared with diesel vehicle</t>
  </si>
  <si>
    <t>Compared with gasoline vehicle</t>
  </si>
  <si>
    <t>Lower limit of error</t>
  </si>
  <si>
    <t>Upper limit of error</t>
  </si>
  <si>
    <t>WTW GHG emission</t>
  </si>
  <si>
    <t>WTW fossil energy use</t>
    <phoneticPr fontId="61" type="noConversion"/>
  </si>
  <si>
    <t>WTP-GHG</t>
  </si>
  <si>
    <t>Energy consumption per unit distance (compared with gasoline vehicle)</t>
  </si>
  <si>
    <t>WTW-GHG</t>
    <phoneticPr fontId="61" type="noConversion"/>
  </si>
  <si>
    <t>WTW-EC</t>
  </si>
  <si>
    <t>WTP efficiency</t>
  </si>
  <si>
    <t>Negative error</t>
  </si>
  <si>
    <t>Positive error</t>
  </si>
  <si>
    <t>Fuel logistics</t>
  </si>
  <si>
    <t>Conversion efficiency of Fuel production</t>
  </si>
  <si>
    <t>Feedstock transport</t>
  </si>
  <si>
    <t>Feedstock extraction efficiency</t>
  </si>
  <si>
    <t>Notes</t>
  </si>
  <si>
    <t>Fuel economy (L/100km) or (KWh/100km)</t>
  </si>
  <si>
    <t>项目级参数</t>
    <phoneticPr fontId="40" type="noConversion"/>
  </si>
  <si>
    <t>汽油与柴油路线</t>
    <phoneticPr fontId="40" type="noConversion"/>
  </si>
  <si>
    <t>原油运输效率</t>
    <phoneticPr fontId="38" type="noConversion"/>
  </si>
  <si>
    <t>炼制能效-柴油</t>
    <phoneticPr fontId="38" type="noConversion"/>
  </si>
  <si>
    <t>炼制能效-汽油</t>
    <phoneticPr fontId="38" type="noConversion"/>
  </si>
  <si>
    <t>用能设备参数</t>
    <phoneticPr fontId="40" type="noConversion"/>
  </si>
  <si>
    <t>SH比例情况</t>
    <phoneticPr fontId="33" type="noConversion"/>
  </si>
  <si>
    <t>汽油车</t>
    <phoneticPr fontId="60" type="noConversion"/>
  </si>
  <si>
    <r>
      <t>C</t>
    </r>
    <r>
      <rPr>
        <sz val="11"/>
        <color theme="1"/>
        <rFont val="宋体"/>
        <family val="2"/>
        <charset val="134"/>
        <scheme val="minor"/>
      </rPr>
      <t>NG车</t>
    </r>
    <phoneticPr fontId="60" type="noConversion"/>
  </si>
  <si>
    <r>
      <t>L</t>
    </r>
    <r>
      <rPr>
        <sz val="11"/>
        <color theme="1"/>
        <rFont val="宋体"/>
        <family val="2"/>
        <charset val="134"/>
        <scheme val="minor"/>
      </rPr>
      <t>NG车</t>
    </r>
    <phoneticPr fontId="60" type="noConversion"/>
  </si>
  <si>
    <r>
      <t>L</t>
    </r>
    <r>
      <rPr>
        <sz val="11"/>
        <color theme="1"/>
        <rFont val="宋体"/>
        <family val="2"/>
        <charset val="134"/>
        <scheme val="minor"/>
      </rPr>
      <t>PG车</t>
    </r>
    <phoneticPr fontId="60" type="noConversion"/>
  </si>
  <si>
    <t>甲醇车</t>
    <phoneticPr fontId="60" type="noConversion"/>
  </si>
  <si>
    <t>灵活燃料甲醇车</t>
    <phoneticPr fontId="60" type="noConversion"/>
  </si>
  <si>
    <t>乙醇车</t>
    <phoneticPr fontId="60" type="noConversion"/>
  </si>
  <si>
    <t>灵活燃料乙醇车</t>
    <phoneticPr fontId="60" type="noConversion"/>
  </si>
  <si>
    <t>氢能源车</t>
    <phoneticPr fontId="60" type="noConversion"/>
  </si>
  <si>
    <t>氢燃料电池汽车</t>
    <phoneticPr fontId="60" type="noConversion"/>
  </si>
  <si>
    <t>混合动力汽油车</t>
    <phoneticPr fontId="60" type="noConversion"/>
  </si>
  <si>
    <t>混合动力氢能源车</t>
    <phoneticPr fontId="60" type="noConversion"/>
  </si>
  <si>
    <t>柴油车</t>
    <phoneticPr fontId="60" type="noConversion"/>
  </si>
  <si>
    <r>
      <t>D</t>
    </r>
    <r>
      <rPr>
        <sz val="11"/>
        <color theme="1"/>
        <rFont val="宋体"/>
        <family val="2"/>
        <charset val="134"/>
        <scheme val="minor"/>
      </rPr>
      <t>ME车</t>
    </r>
    <phoneticPr fontId="60" type="noConversion"/>
  </si>
  <si>
    <t>生物柴油车</t>
    <phoneticPr fontId="60" type="noConversion"/>
  </si>
  <si>
    <t>混合动力柴油车</t>
    <phoneticPr fontId="60" type="noConversion"/>
  </si>
  <si>
    <t>纯电动车</t>
    <phoneticPr fontId="60" type="noConversion"/>
  </si>
  <si>
    <t>插电式混合动力车-纯电模式</t>
    <phoneticPr fontId="60" type="noConversion"/>
  </si>
  <si>
    <t>插电式混合动力车-汽油模式</t>
    <phoneticPr fontId="60" type="noConversion"/>
  </si>
  <si>
    <t>Fuel economy (Miles travelled per unit energy)</t>
    <phoneticPr fontId="60" type="noConversion"/>
  </si>
  <si>
    <r>
      <t>燃油经济性(单位能源行驶里程</t>
    </r>
    <r>
      <rPr>
        <sz val="11"/>
        <color theme="1"/>
        <rFont val="宋体"/>
        <family val="2"/>
        <charset val="134"/>
        <scheme val="minor"/>
      </rPr>
      <t>)比例</t>
    </r>
    <phoneticPr fontId="60" type="noConversion"/>
  </si>
  <si>
    <t>燃油经济性(单位里程所耗能源)比例</t>
    <phoneticPr fontId="60" type="noConversion"/>
  </si>
  <si>
    <t>100公里能源消耗（公斤）</t>
    <phoneticPr fontId="60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</si>
  <si>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00公里能源消耗(升/方/°)</t>
    </r>
    <phoneticPr fontId="60" type="noConversion"/>
  </si>
  <si>
    <t>敏感性分析之工艺燃料变化</t>
    <phoneticPr fontId="41" type="noConversion"/>
  </si>
  <si>
    <t>敏感性分析之运输距离减半</t>
    <phoneticPr fontId="41" type="noConversion"/>
  </si>
  <si>
    <t>WTP efficiency%</t>
    <phoneticPr fontId="60" type="noConversion"/>
  </si>
  <si>
    <t>燃料经济性(升/100km;度/100km)</t>
    <phoneticPr fontId="60" type="noConversion"/>
  </si>
  <si>
    <t>注解</t>
    <phoneticPr fontId="60" type="noConversion"/>
  </si>
  <si>
    <t>原料开采效率</t>
    <phoneticPr fontId="60" type="noConversion"/>
  </si>
  <si>
    <t>原料运输</t>
    <phoneticPr fontId="60" type="noConversion"/>
  </si>
  <si>
    <t>燃料生产转化效率</t>
    <phoneticPr fontId="60" type="noConversion"/>
  </si>
  <si>
    <t>燃料物料</t>
    <phoneticPr fontId="60" type="noConversion"/>
  </si>
  <si>
    <t>从矿井到油泵效率</t>
    <phoneticPr fontId="61" type="noConversion"/>
  </si>
  <si>
    <t>误差上限</t>
    <phoneticPr fontId="60" type="noConversion"/>
  </si>
  <si>
    <t>误差下限</t>
    <phoneticPr fontId="60" type="noConversion"/>
  </si>
  <si>
    <t>正误差</t>
    <phoneticPr fontId="60" type="noConversion"/>
  </si>
  <si>
    <t>负误差</t>
    <phoneticPr fontId="60" type="noConversion"/>
  </si>
  <si>
    <t>内燃机汽车-汽油(8升/100km)</t>
    <phoneticPr fontId="60" type="noConversion"/>
  </si>
  <si>
    <t>内燃机汽车-柴油</t>
    <phoneticPr fontId="60" type="noConversion"/>
  </si>
  <si>
    <t>内燃机汽车-汽油(7.7升/101km)</t>
    <phoneticPr fontId="60" type="noConversion"/>
  </si>
  <si>
    <t>内燃机汽车-汽油(8.2升/102km)</t>
    <phoneticPr fontId="60" type="noConversion"/>
  </si>
  <si>
    <t>内燃机汽车-汽油(5.7升/103km)</t>
    <phoneticPr fontId="60" type="noConversion"/>
  </si>
  <si>
    <t>内燃机汽车-汽油(5.9升/104km)</t>
    <phoneticPr fontId="60" type="noConversion"/>
  </si>
  <si>
    <t>内燃机汽车-汽油(4.5升/105km)</t>
    <phoneticPr fontId="60" type="noConversion"/>
  </si>
  <si>
    <t>行业平均</t>
    <phoneticPr fontId="60" type="noConversion"/>
  </si>
  <si>
    <t>Cruze车型</t>
    <phoneticPr fontId="60" type="noConversion"/>
  </si>
  <si>
    <t>New sail车型</t>
    <phoneticPr fontId="60" type="noConversion"/>
  </si>
  <si>
    <t>2017年激进目标</t>
    <phoneticPr fontId="60" type="noConversion"/>
  </si>
  <si>
    <t>更激进目标</t>
    <phoneticPr fontId="60" type="noConversion"/>
  </si>
  <si>
    <t>内燃机汽车-压缩天然气</t>
    <phoneticPr fontId="60" type="noConversion"/>
  </si>
  <si>
    <t>内燃机汽车-液化天然气（路线1）</t>
    <phoneticPr fontId="60" type="noConversion"/>
  </si>
  <si>
    <t>内燃机汽车-天然气液化油</t>
    <phoneticPr fontId="60" type="noConversion"/>
  </si>
  <si>
    <t>内燃机汽车-液化天然气（路线2）</t>
  </si>
  <si>
    <t>内燃机汽车-液化天然气（路线3）</t>
  </si>
  <si>
    <t>内燃机汽车-煤炭液化油</t>
    <phoneticPr fontId="60" type="noConversion"/>
  </si>
  <si>
    <t>内燃机汽车-煤炭液化油（CCS）</t>
    <phoneticPr fontId="60" type="noConversion"/>
  </si>
  <si>
    <t>BEV-Grid power (20.3KWh/100km)</t>
    <phoneticPr fontId="60" type="noConversion"/>
  </si>
  <si>
    <t>纯电动汽车-网电(20.3KWh/100km)</t>
    <phoneticPr fontId="60" type="noConversion"/>
  </si>
  <si>
    <t>纯电动汽车-网电(14.0KWh/100km)</t>
    <phoneticPr fontId="60" type="noConversion"/>
  </si>
  <si>
    <t>纯电动汽车-网电(16.0KWh/100km)</t>
    <phoneticPr fontId="60" type="noConversion"/>
  </si>
  <si>
    <t>纯电动汽车-网电(22.5KWh/100km)</t>
    <phoneticPr fontId="60" type="noConversion"/>
  </si>
  <si>
    <t>纯电动汽车-煤电</t>
    <phoneticPr fontId="60" type="noConversion"/>
  </si>
  <si>
    <t>纯电动汽车-油电</t>
    <phoneticPr fontId="60" type="noConversion"/>
  </si>
  <si>
    <t>纯电动汽车-气电</t>
    <phoneticPr fontId="60" type="noConversion"/>
  </si>
  <si>
    <t>纯电动汽车-核电</t>
    <phoneticPr fontId="60" type="noConversion"/>
  </si>
  <si>
    <t>纯电动汽车-大水电</t>
    <phoneticPr fontId="60" type="noConversion"/>
  </si>
  <si>
    <t>纯电动汽车-生物质发电</t>
    <phoneticPr fontId="60" type="noConversion"/>
  </si>
  <si>
    <t>电动汽车现状</t>
    <phoneticPr fontId="60" type="noConversion"/>
  </si>
  <si>
    <t>纯电动汽车-煤电(IGCC+CCS)</t>
    <phoneticPr fontId="60" type="noConversion"/>
  </si>
  <si>
    <t>纯电动汽车-网电(东北电网)</t>
    <phoneticPr fontId="60" type="noConversion"/>
  </si>
  <si>
    <t>纯电动汽车-网电(华北电网)</t>
    <phoneticPr fontId="60" type="noConversion"/>
  </si>
  <si>
    <t>纯电动汽车-网电(西北电网)</t>
    <phoneticPr fontId="60" type="noConversion"/>
  </si>
  <si>
    <t>纯电动汽车-网电(华中电网)</t>
    <phoneticPr fontId="60" type="noConversion"/>
  </si>
  <si>
    <t>纯电动汽车-网电(华东电网)</t>
    <phoneticPr fontId="60" type="noConversion"/>
  </si>
  <si>
    <t>纯电动汽车-网电(南方电网)</t>
    <phoneticPr fontId="60" type="noConversion"/>
  </si>
  <si>
    <t>WTW-EC (petrolum)</t>
    <phoneticPr fontId="60" type="noConversion"/>
  </si>
  <si>
    <t>WTW-EC (NG)</t>
    <phoneticPr fontId="60" type="noConversion"/>
  </si>
  <si>
    <t>WTW-EC (coal)</t>
    <phoneticPr fontId="60" type="noConversion"/>
  </si>
  <si>
    <t>WTW-CO2</t>
    <phoneticPr fontId="61" type="noConversion"/>
  </si>
  <si>
    <t>WTW-N2O</t>
    <phoneticPr fontId="61" type="noConversion"/>
  </si>
  <si>
    <t>WTW-CH4</t>
    <phoneticPr fontId="61" type="noConversion"/>
  </si>
  <si>
    <t>mg/MJ</t>
    <phoneticPr fontId="60" type="noConversion"/>
  </si>
  <si>
    <t>核算捕获耗能</t>
    <phoneticPr fontId="9" type="noConversion"/>
  </si>
  <si>
    <t>mg/MJ</t>
    <phoneticPr fontId="37" type="noConversion"/>
  </si>
  <si>
    <t>0.001mg/MJ</t>
    <phoneticPr fontId="37" type="noConversion"/>
  </si>
  <si>
    <t>煤基路线</t>
    <phoneticPr fontId="40" type="noConversion"/>
  </si>
  <si>
    <t>LCA-Coal</t>
  </si>
  <si>
    <t>煤炭</t>
  </si>
  <si>
    <t>LCA-NG</t>
  </si>
  <si>
    <t>天然气</t>
  </si>
  <si>
    <t>LCA-Oil</t>
  </si>
  <si>
    <t>石油</t>
  </si>
  <si>
    <t>LCA-PE</t>
  </si>
  <si>
    <t>一次能源总计</t>
  </si>
  <si>
    <t>LCA-CO2</t>
  </si>
  <si>
    <t>二氧化碳</t>
  </si>
  <si>
    <t>LCA-CH4</t>
  </si>
  <si>
    <t>甲烷</t>
  </si>
  <si>
    <t>LCA-N2O</t>
  </si>
  <si>
    <t>氧化二氮</t>
  </si>
  <si>
    <t>LCA-GHG</t>
  </si>
  <si>
    <t>GHG合计</t>
  </si>
  <si>
    <t>煤基路线</t>
    <phoneticPr fontId="40" type="noConversion"/>
  </si>
  <si>
    <t>合计</t>
  </si>
  <si>
    <t>合计</t>
    <phoneticPr fontId="40" type="noConversion"/>
  </si>
  <si>
    <t>CTL</t>
    <phoneticPr fontId="40" type="noConversion"/>
  </si>
  <si>
    <t>CTL+CCS</t>
    <phoneticPr fontId="40" type="noConversion"/>
  </si>
  <si>
    <t>生物燃料路线</t>
    <phoneticPr fontId="40" type="noConversion"/>
  </si>
  <si>
    <t>原煤开采处理</t>
  </si>
  <si>
    <t>煤炭运输</t>
  </si>
  <si>
    <t>CTL制备</t>
  </si>
  <si>
    <t>CTL输配</t>
  </si>
  <si>
    <t>CTL燃烧</t>
  </si>
  <si>
    <t>玉米燃料乙醇</t>
    <phoneticPr fontId="40" type="noConversion"/>
  </si>
  <si>
    <t>小桐子制取生物柴油</t>
    <phoneticPr fontId="40" type="noConversion"/>
  </si>
  <si>
    <t>原料种植</t>
    <phoneticPr fontId="40" type="noConversion"/>
  </si>
  <si>
    <t>原料运输</t>
    <phoneticPr fontId="40" type="noConversion"/>
  </si>
  <si>
    <t>燃料制取</t>
    <phoneticPr fontId="40" type="noConversion"/>
  </si>
  <si>
    <t>燃料输配</t>
    <phoneticPr fontId="40" type="noConversion"/>
  </si>
  <si>
    <t>燃料使用</t>
    <phoneticPr fontId="40" type="noConversion"/>
  </si>
  <si>
    <t>合计</t>
    <phoneticPr fontId="40" type="noConversion"/>
  </si>
  <si>
    <t>合计</t>
    <phoneticPr fontId="40" type="noConversion"/>
  </si>
  <si>
    <t>原料开采处理</t>
    <phoneticPr fontId="26" type="noConversion"/>
  </si>
  <si>
    <t>原料运输</t>
    <phoneticPr fontId="26" type="noConversion"/>
  </si>
  <si>
    <t>燃料制备与燃烧</t>
    <phoneticPr fontId="26" type="noConversion"/>
  </si>
  <si>
    <t>煤电分阶段</t>
    <phoneticPr fontId="40" type="noConversion"/>
  </si>
  <si>
    <t>气电分阶段</t>
    <phoneticPr fontId="40" type="noConversion"/>
  </si>
  <si>
    <t>油电分阶段</t>
    <phoneticPr fontId="40" type="noConversion"/>
  </si>
  <si>
    <t>网电分阶段</t>
    <phoneticPr fontId="40" type="noConversion"/>
  </si>
  <si>
    <t>合计</t>
    <phoneticPr fontId="26" type="noConversion"/>
  </si>
  <si>
    <t>汽油车百公里耗油</t>
    <phoneticPr fontId="40" type="noConversion"/>
  </si>
  <si>
    <t>升</t>
    <phoneticPr fontId="40" type="noConversion"/>
  </si>
  <si>
    <t>液化天然气汽车相对汽油车单位距离耗能</t>
    <phoneticPr fontId="40" type="noConversion"/>
  </si>
  <si>
    <t>电动汽车的用能效率是汽油车的倍数</t>
    <phoneticPr fontId="40" type="noConversion"/>
  </si>
  <si>
    <t>乙醇车百公里耗能相对汽油车单位距离耗能</t>
    <phoneticPr fontId="40" type="noConversion"/>
  </si>
  <si>
    <t>生物柴油车百公里耗能相对柴油车单位距离耗能</t>
    <phoneticPr fontId="40" type="noConversion"/>
  </si>
  <si>
    <t>柴油车为100</t>
    <phoneticPr fontId="40" type="noConversion"/>
  </si>
  <si>
    <t>汽油车为100</t>
    <phoneticPr fontId="40" type="noConversion"/>
  </si>
  <si>
    <t>柴油车百公里耗能为汽油车的比例</t>
    <phoneticPr fontId="40" type="noConversion"/>
  </si>
  <si>
    <t>压缩天然气汽车相对汽油车单位距离耗能</t>
    <phoneticPr fontId="40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</si>
  <si>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00公里能源消耗(升/方/度)</t>
    </r>
    <phoneticPr fontId="60" type="noConversion"/>
  </si>
  <si>
    <r>
      <t>M</t>
    </r>
    <r>
      <rPr>
        <sz val="11"/>
        <color theme="1"/>
        <rFont val="宋体"/>
        <family val="3"/>
        <charset val="134"/>
        <scheme val="minor"/>
      </rPr>
      <t>J/km</t>
    </r>
    <phoneticPr fontId="60" type="noConversion"/>
  </si>
  <si>
    <t>折算直接能耗</t>
    <phoneticPr fontId="60" type="noConversion"/>
  </si>
  <si>
    <t>汽油车</t>
    <phoneticPr fontId="60" type="noConversion"/>
  </si>
  <si>
    <r>
      <t>MJ/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</si>
  <si>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MJ/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</si>
  <si>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</si>
  <si>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</si>
  <si>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r>
      <t>mg/</t>
    </r>
    <r>
      <rPr>
        <sz val="11"/>
        <color theme="1"/>
        <rFont val="宋体"/>
        <family val="3"/>
        <charset val="134"/>
        <scheme val="minor"/>
      </rPr>
      <t>km</t>
    </r>
    <phoneticPr fontId="40" type="noConversion"/>
  </si>
  <si>
    <t>柴油车</t>
    <phoneticPr fontId="60" type="noConversion"/>
  </si>
  <si>
    <r>
      <t>L</t>
    </r>
    <r>
      <rPr>
        <sz val="11"/>
        <color theme="1"/>
        <rFont val="宋体"/>
        <family val="3"/>
        <charset val="134"/>
        <scheme val="minor"/>
      </rPr>
      <t>NG车</t>
    </r>
    <phoneticPr fontId="60" type="noConversion"/>
  </si>
  <si>
    <t>燃料输配</t>
    <phoneticPr fontId="60" type="noConversion"/>
  </si>
  <si>
    <t>使用</t>
    <phoneticPr fontId="60" type="noConversion"/>
  </si>
  <si>
    <t>一</t>
    <phoneticPr fontId="40" type="noConversion"/>
  </si>
  <si>
    <t>二</t>
    <phoneticPr fontId="40" type="noConversion"/>
  </si>
  <si>
    <t>三</t>
    <phoneticPr fontId="40" type="noConversion"/>
  </si>
  <si>
    <t>vehicle summary</t>
    <phoneticPr fontId="33" type="noConversion"/>
  </si>
  <si>
    <t>fuel summary</t>
  </si>
  <si>
    <t>关于燃料的总结</t>
    <phoneticPr fontId="33" type="noConversion"/>
  </si>
  <si>
    <t>NG-based (+1)</t>
    <phoneticPr fontId="33" type="noConversion"/>
  </si>
  <si>
    <t>敏感性分析之效率和工业燃料变化</t>
    <phoneticPr fontId="33" type="noConversion"/>
  </si>
  <si>
    <t>NG-based (+2)</t>
    <phoneticPr fontId="33" type="noConversion"/>
  </si>
  <si>
    <t>敏感性分析之运输距离变化</t>
    <phoneticPr fontId="33" type="noConversion"/>
  </si>
  <si>
    <t>Key Input (商用)</t>
  </si>
  <si>
    <t>境内部分</t>
    <phoneticPr fontId="60" type="noConversion"/>
  </si>
  <si>
    <t>总结</t>
    <phoneticPr fontId="60" type="noConversion"/>
  </si>
  <si>
    <t>原料运输</t>
    <phoneticPr fontId="60" type="noConversion"/>
  </si>
  <si>
    <t>燃料制取</t>
    <phoneticPr fontId="60" type="noConversion"/>
  </si>
  <si>
    <t>燃料输配</t>
    <phoneticPr fontId="60" type="noConversion"/>
  </si>
  <si>
    <t>燃料使用</t>
    <phoneticPr fontId="60" type="noConversion"/>
  </si>
  <si>
    <t>国产汽油</t>
    <phoneticPr fontId="60" type="noConversion"/>
  </si>
  <si>
    <t>国产柴油</t>
    <phoneticPr fontId="60" type="noConversion"/>
  </si>
  <si>
    <r>
      <t>国产C</t>
    </r>
    <r>
      <rPr>
        <sz val="11"/>
        <color theme="1"/>
        <rFont val="宋体"/>
        <family val="3"/>
        <charset val="134"/>
        <scheme val="minor"/>
      </rPr>
      <t>NG</t>
    </r>
    <phoneticPr fontId="60" type="noConversion"/>
  </si>
  <si>
    <t>原料开采/种植采收</t>
    <phoneticPr fontId="60" type="noConversion"/>
  </si>
  <si>
    <t>国内减排</t>
    <phoneticPr fontId="60" type="noConversion"/>
  </si>
  <si>
    <t>比例</t>
    <phoneticPr fontId="60" type="noConversion"/>
  </si>
  <si>
    <t>合计</t>
    <phoneticPr fontId="60" type="noConversion"/>
  </si>
  <si>
    <t>18-22</t>
    <phoneticPr fontId="60" type="noConversion"/>
  </si>
  <si>
    <t>日产聆风</t>
    <phoneticPr fontId="60" type="noConversion"/>
  </si>
  <si>
    <t>比亚迪</t>
    <phoneticPr fontId="60" type="noConversion"/>
  </si>
  <si>
    <t>东北电网分阶段</t>
    <phoneticPr fontId="40" type="noConversion"/>
  </si>
  <si>
    <t>华北电网分阶段</t>
    <phoneticPr fontId="40" type="noConversion"/>
  </si>
  <si>
    <t>南方电网分阶段</t>
    <phoneticPr fontId="40" type="noConversion"/>
  </si>
  <si>
    <t>南方电网</t>
    <phoneticPr fontId="26" type="noConversion"/>
  </si>
  <si>
    <t>四</t>
    <phoneticPr fontId="40" type="noConversion"/>
  </si>
  <si>
    <t>中国电网结构</t>
    <phoneticPr fontId="40" type="noConversion"/>
  </si>
  <si>
    <t>供电结构中煤电</t>
    <phoneticPr fontId="40" type="noConversion"/>
  </si>
  <si>
    <t>供电结构中油电</t>
    <phoneticPr fontId="40" type="noConversion"/>
  </si>
  <si>
    <t>供电结构中气电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</si>
</sst>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 * #,##0.00_ ;_ * \-#,##0.00_ ;_ * &quot;-&quot;??_ ;_ @_ "/>
    <numFmt numFmtId="176" formatCode="0.00_ "/>
    <numFmt numFmtId="177" formatCode="0_ "/>
    <numFmt numFmtId="178" formatCode="0.00_);[Red]\(0.00\)"/>
    <numFmt numFmtId="179" formatCode="0.00;[Red]0.00"/>
    <numFmt numFmtId="180" formatCode="0.0_ "/>
    <numFmt numFmtId="181" formatCode="0.000_ "/>
    <numFmt numFmtId="182" formatCode="0.0%"/>
    <numFmt numFmtId="183" formatCode="0.0"/>
    <numFmt numFmtId="184" formatCode="0.000"/>
    <numFmt numFmtId="185" formatCode="0.0000%"/>
    <numFmt numFmtId="186" formatCode="0.000_);[Red]\(0.000\)"/>
    <numFmt numFmtId="187" formatCode="0.0_);[Red]\(0.0\)"/>
    <numFmt numFmtId="188" formatCode="_(* #,##0.00_);_(* \(#,##0.00\);_(* &quot;-&quot;??_);_(@_)"/>
    <numFmt numFmtId="189" formatCode="0.00000000000000%"/>
    <numFmt numFmtId="190" formatCode="0.00000000000_ "/>
  </numFmts>
  <fonts count="7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3"/>
      <charset val="134"/>
    </font>
    <font>
      <sz val="10.5"/>
      <color indexed="8"/>
      <name val="Calibri"/>
      <family val="2"/>
    </font>
    <font>
      <sz val="10.5"/>
      <color indexed="8"/>
      <name val="Times New Roman"/>
      <family val="1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华文细黑"/>
      <family val="3"/>
      <charset val="134"/>
    </font>
    <font>
      <sz val="11"/>
      <color rgb="FFFF0000"/>
      <name val="华文细黑"/>
      <family val="3"/>
      <charset val="134"/>
    </font>
    <font>
      <sz val="10.5"/>
      <color rgb="FFFF0000"/>
      <name val="Times New Roman"/>
      <family val="1"/>
    </font>
    <font>
      <b/>
      <sz val="12"/>
      <color theme="1"/>
      <name val="Times New Roman"/>
      <family val="1"/>
    </font>
    <font>
      <sz val="10.5"/>
      <color rgb="FF000000"/>
      <name val="Times New Roman"/>
      <family val="1"/>
    </font>
    <font>
      <sz val="11"/>
      <color rgb="FF00B050"/>
      <name val="宋体"/>
      <family val="3"/>
      <charset val="134"/>
      <scheme val="minor"/>
    </font>
    <font>
      <b/>
      <sz val="24"/>
      <color rgb="FF79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7.5"/>
      <color indexed="12"/>
      <name val="Arial"/>
      <family val="2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rgb="FFFF0000"/>
      <name val="Times New Roman"/>
      <family val="1"/>
    </font>
    <font>
      <vertAlign val="subscript"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9" fontId="62" fillId="0" borderId="0" applyFont="0" applyFill="0" applyBorder="0" applyAlignment="0" applyProtection="0"/>
    <xf numFmtId="0" fontId="62" fillId="0" borderId="37"/>
    <xf numFmtId="0" fontId="63" fillId="0" borderId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188" fontId="62" fillId="0" borderId="0" applyFont="0" applyFill="0" applyBorder="0" applyAlignment="0" applyProtection="0"/>
    <xf numFmtId="43" fontId="63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749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justify" vertical="top" wrapText="1"/>
    </xf>
    <xf numFmtId="0" fontId="10" fillId="0" borderId="2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justify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justify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176" fontId="7" fillId="0" borderId="0" xfId="0" applyNumberFormat="1" applyFont="1" applyAlignment="1">
      <alignment horizontal="justify" vertical="center" wrapText="1"/>
    </xf>
    <xf numFmtId="0" fontId="8" fillId="2" borderId="0" xfId="0" applyFont="1" applyFill="1" applyBorder="1" applyAlignment="1">
      <alignment horizontal="justify" vertical="center" wrapText="1"/>
    </xf>
    <xf numFmtId="10" fontId="0" fillId="0" borderId="0" xfId="0" applyNumberFormat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44" fillId="3" borderId="0" xfId="0" applyFont="1" applyFill="1">
      <alignment vertical="center"/>
    </xf>
    <xf numFmtId="0" fontId="44" fillId="3" borderId="0" xfId="0" applyFont="1" applyFill="1">
      <alignment vertical="center"/>
    </xf>
    <xf numFmtId="0" fontId="0" fillId="0" borderId="0" xfId="0" applyFont="1">
      <alignment vertical="center"/>
    </xf>
    <xf numFmtId="0" fontId="44" fillId="3" borderId="0" xfId="0" applyFont="1" applyFill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0" fillId="0" borderId="5" xfId="0" applyBorder="1">
      <alignment vertical="center"/>
    </xf>
    <xf numFmtId="0" fontId="10" fillId="0" borderId="5" xfId="0" applyFont="1" applyBorder="1" applyAlignment="1">
      <alignment vertical="top" wrapText="1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44" fillId="0" borderId="0" xfId="0" applyFont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6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10" fontId="0" fillId="0" borderId="0" xfId="0" applyNumberFormat="1" applyBorder="1">
      <alignment vertical="center"/>
    </xf>
    <xf numFmtId="10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0" fillId="0" borderId="12" xfId="0" applyFont="1" applyBorder="1">
      <alignment vertical="center"/>
    </xf>
    <xf numFmtId="10" fontId="0" fillId="0" borderId="1" xfId="0" applyNumberFormat="1" applyBorder="1">
      <alignment vertical="center"/>
    </xf>
    <xf numFmtId="10" fontId="0" fillId="0" borderId="12" xfId="0" applyNumberFormat="1" applyBorder="1">
      <alignment vertical="center"/>
    </xf>
    <xf numFmtId="0" fontId="0" fillId="0" borderId="0" xfId="0" applyFont="1" applyFill="1" applyBorder="1">
      <alignment vertical="center"/>
    </xf>
    <xf numFmtId="179" fontId="44" fillId="3" borderId="0" xfId="0" applyNumberFormat="1" applyFont="1" applyFill="1" applyBorder="1">
      <alignment vertical="center"/>
    </xf>
    <xf numFmtId="179" fontId="44" fillId="3" borderId="1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79" fontId="44" fillId="3" borderId="7" xfId="0" applyNumberFormat="1" applyFont="1" applyFill="1" applyBorder="1">
      <alignment vertical="center"/>
    </xf>
    <xf numFmtId="179" fontId="0" fillId="0" borderId="0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 applyAlignment="1">
      <alignment horizontal="right" vertical="center"/>
    </xf>
    <xf numFmtId="0" fontId="0" fillId="0" borderId="17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7" fontId="0" fillId="0" borderId="0" xfId="0" applyNumberFormat="1" applyBorder="1">
      <alignment vertical="center"/>
    </xf>
    <xf numFmtId="10" fontId="0" fillId="0" borderId="14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177" fontId="0" fillId="0" borderId="21" xfId="0" applyNumberFormat="1" applyBorder="1">
      <alignment vertical="center"/>
    </xf>
    <xf numFmtId="10" fontId="0" fillId="0" borderId="21" xfId="0" applyNumberFormat="1" applyBorder="1">
      <alignment vertical="center"/>
    </xf>
    <xf numFmtId="10" fontId="0" fillId="0" borderId="22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177" fontId="0" fillId="0" borderId="17" xfId="0" applyNumberFormat="1" applyBorder="1">
      <alignment vertical="center"/>
    </xf>
    <xf numFmtId="10" fontId="0" fillId="0" borderId="17" xfId="0" applyNumberFormat="1" applyBorder="1">
      <alignment vertical="center"/>
    </xf>
    <xf numFmtId="10" fontId="0" fillId="0" borderId="18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24" xfId="0" applyNumberFormat="1" applyBorder="1">
      <alignment vertical="center"/>
    </xf>
    <xf numFmtId="177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10" fontId="0" fillId="0" borderId="14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right" vertical="center"/>
    </xf>
    <xf numFmtId="10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76" fontId="0" fillId="0" borderId="17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right" vertical="center"/>
    </xf>
    <xf numFmtId="10" fontId="0" fillId="0" borderId="18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45" fillId="0" borderId="0" xfId="0" applyFont="1">
      <alignment vertical="center"/>
    </xf>
    <xf numFmtId="0" fontId="0" fillId="0" borderId="0" xfId="0" applyFont="1">
      <alignment vertical="center"/>
    </xf>
    <xf numFmtId="0" fontId="27" fillId="0" borderId="35" xfId="0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center"/>
    </xf>
    <xf numFmtId="0" fontId="27" fillId="0" borderId="36" xfId="0" applyFont="1" applyBorder="1" applyAlignment="1">
      <alignment horizontal="center" vertical="top"/>
    </xf>
    <xf numFmtId="0" fontId="28" fillId="0" borderId="36" xfId="0" applyFont="1" applyBorder="1" applyAlignment="1">
      <alignment horizontal="center" vertical="top"/>
    </xf>
    <xf numFmtId="177" fontId="45" fillId="0" borderId="0" xfId="0" applyNumberFormat="1" applyFont="1">
      <alignment vertical="center"/>
    </xf>
    <xf numFmtId="0" fontId="0" fillId="0" borderId="6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5" fillId="0" borderId="0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15" fillId="0" borderId="1" xfId="0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top" wrapText="1"/>
    </xf>
    <xf numFmtId="0" fontId="46" fillId="0" borderId="1" xfId="0" applyFont="1" applyBorder="1" applyAlignment="1">
      <alignment horizontal="center" vertical="top" wrapText="1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/>
    </xf>
    <xf numFmtId="181" fontId="46" fillId="0" borderId="0" xfId="0" applyNumberFormat="1" applyFont="1" applyAlignment="1">
      <alignment horizontal="center" vertical="center"/>
    </xf>
    <xf numFmtId="180" fontId="46" fillId="0" borderId="4" xfId="0" applyNumberFormat="1" applyFont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10" fontId="0" fillId="0" borderId="6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0" fillId="0" borderId="12" xfId="0" applyFont="1" applyBorder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177" fontId="0" fillId="4" borderId="0" xfId="0" applyNumberFormat="1" applyFill="1">
      <alignment vertical="center"/>
    </xf>
    <xf numFmtId="0" fontId="8" fillId="4" borderId="0" xfId="0" applyFont="1" applyFill="1" applyAlignment="1">
      <alignment horizontal="justify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/>
    </xf>
    <xf numFmtId="0" fontId="0" fillId="4" borderId="9" xfId="0" applyFill="1" applyBorder="1">
      <alignment vertical="center"/>
    </xf>
    <xf numFmtId="10" fontId="0" fillId="4" borderId="0" xfId="0" applyNumberFormat="1" applyFill="1" applyBorder="1">
      <alignment vertical="center"/>
    </xf>
    <xf numFmtId="10" fontId="0" fillId="4" borderId="10" xfId="0" applyNumberForma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11" xfId="0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4" borderId="12" xfId="0" applyNumberFormat="1" applyFill="1" applyBorder="1">
      <alignment vertical="center"/>
    </xf>
    <xf numFmtId="0" fontId="0" fillId="4" borderId="19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7" fontId="0" fillId="4" borderId="0" xfId="0" applyNumberFormat="1" applyFill="1" applyBorder="1" applyAlignment="1">
      <alignment horizontal="right" vertical="center"/>
    </xf>
    <xf numFmtId="10" fontId="0" fillId="4" borderId="0" xfId="0" applyNumberFormat="1" applyFill="1" applyBorder="1" applyAlignment="1">
      <alignment horizontal="right" vertical="center"/>
    </xf>
    <xf numFmtId="10" fontId="0" fillId="4" borderId="14" xfId="0" applyNumberFormat="1" applyFill="1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176" fontId="0" fillId="4" borderId="21" xfId="0" applyNumberFormat="1" applyFill="1" applyBorder="1" applyAlignment="1">
      <alignment horizontal="center" vertical="center"/>
    </xf>
    <xf numFmtId="177" fontId="0" fillId="4" borderId="21" xfId="0" applyNumberFormat="1" applyFill="1" applyBorder="1" applyAlignment="1">
      <alignment horizontal="right" vertical="center"/>
    </xf>
    <xf numFmtId="10" fontId="0" fillId="4" borderId="21" xfId="0" applyNumberFormat="1" applyFill="1" applyBorder="1" applyAlignment="1">
      <alignment horizontal="right" vertical="center"/>
    </xf>
    <xf numFmtId="10" fontId="0" fillId="4" borderId="22" xfId="0" applyNumberFormat="1" applyFill="1" applyBorder="1" applyAlignment="1">
      <alignment horizontal="right" vertical="center"/>
    </xf>
    <xf numFmtId="0" fontId="31" fillId="2" borderId="0" xfId="0" applyFont="1" applyFill="1" applyBorder="1" applyAlignment="1">
      <alignment horizontal="center" vertical="center" wrapText="1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176" fontId="8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 wrapText="1"/>
    </xf>
    <xf numFmtId="176" fontId="8" fillId="2" borderId="0" xfId="0" applyNumberFormat="1" applyFont="1" applyFill="1" applyAlignment="1">
      <alignment vertical="center" wrapText="1"/>
    </xf>
    <xf numFmtId="176" fontId="0" fillId="0" borderId="0" xfId="0" applyNumberFormat="1" applyFont="1" applyAlignment="1">
      <alignment vertical="center"/>
    </xf>
    <xf numFmtId="176" fontId="8" fillId="4" borderId="0" xfId="0" applyNumberFormat="1" applyFont="1" applyFill="1" applyAlignment="1">
      <alignment vertical="center" wrapText="1"/>
    </xf>
    <xf numFmtId="177" fontId="0" fillId="0" borderId="1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2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180" fontId="0" fillId="0" borderId="9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10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12" xfId="0" applyNumberForma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7" fontId="0" fillId="0" borderId="27" xfId="0" applyNumberFormat="1" applyFont="1" applyBorder="1">
      <alignment vertical="center"/>
    </xf>
    <xf numFmtId="177" fontId="0" fillId="0" borderId="28" xfId="0" applyNumberFormat="1" applyFont="1" applyBorder="1">
      <alignment vertical="center"/>
    </xf>
    <xf numFmtId="0" fontId="8" fillId="2" borderId="28" xfId="0" applyFont="1" applyFill="1" applyBorder="1" applyAlignment="1">
      <alignment horizontal="center" vertical="center" wrapText="1"/>
    </xf>
    <xf numFmtId="177" fontId="0" fillId="0" borderId="28" xfId="0" applyNumberFormat="1" applyBorder="1">
      <alignment vertical="center"/>
    </xf>
    <xf numFmtId="0" fontId="0" fillId="3" borderId="28" xfId="0" applyFill="1" applyBorder="1">
      <alignment vertical="center"/>
    </xf>
    <xf numFmtId="177" fontId="0" fillId="0" borderId="29" xfId="0" applyNumberFormat="1" applyBorder="1">
      <alignment vertical="center"/>
    </xf>
    <xf numFmtId="0" fontId="0" fillId="0" borderId="0" xfId="0" applyFont="1" applyBorder="1">
      <alignment vertical="center"/>
    </xf>
    <xf numFmtId="176" fontId="0" fillId="0" borderId="9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44" fillId="0" borderId="9" xfId="0" applyFont="1" applyBorder="1">
      <alignment vertical="center"/>
    </xf>
    <xf numFmtId="0" fontId="44" fillId="0" borderId="0" xfId="0" applyFont="1" applyBorder="1">
      <alignment vertical="center"/>
    </xf>
    <xf numFmtId="176" fontId="44" fillId="0" borderId="0" xfId="0" applyNumberFormat="1" applyFont="1" applyBorder="1">
      <alignment vertical="center"/>
    </xf>
    <xf numFmtId="0" fontId="44" fillId="0" borderId="14" xfId="0" applyFont="1" applyBorder="1">
      <alignment vertical="center"/>
    </xf>
    <xf numFmtId="176" fontId="44" fillId="0" borderId="10" xfId="0" applyNumberFormat="1" applyFont="1" applyBorder="1">
      <alignment vertical="center"/>
    </xf>
    <xf numFmtId="180" fontId="44" fillId="0" borderId="0" xfId="0" applyNumberFormat="1" applyFont="1">
      <alignment vertical="center"/>
    </xf>
    <xf numFmtId="176" fontId="44" fillId="0" borderId="9" xfId="0" applyNumberFormat="1" applyFont="1" applyBorder="1">
      <alignment vertical="center"/>
    </xf>
    <xf numFmtId="0" fontId="44" fillId="0" borderId="11" xfId="0" applyFont="1" applyBorder="1">
      <alignment vertical="center"/>
    </xf>
    <xf numFmtId="0" fontId="44" fillId="0" borderId="1" xfId="0" applyFont="1" applyBorder="1">
      <alignment vertical="center"/>
    </xf>
    <xf numFmtId="176" fontId="44" fillId="0" borderId="1" xfId="0" applyNumberFormat="1" applyFont="1" applyBorder="1">
      <alignment vertical="center"/>
    </xf>
    <xf numFmtId="0" fontId="44" fillId="0" borderId="15" xfId="0" applyFont="1" applyBorder="1">
      <alignment vertical="center"/>
    </xf>
    <xf numFmtId="176" fontId="44" fillId="0" borderId="12" xfId="0" applyNumberFormat="1" applyFont="1" applyBorder="1">
      <alignment vertical="center"/>
    </xf>
    <xf numFmtId="0" fontId="16" fillId="0" borderId="0" xfId="0" applyFont="1">
      <alignment vertical="center"/>
    </xf>
    <xf numFmtId="181" fontId="0" fillId="4" borderId="0" xfId="0" applyNumberFormat="1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47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9" fillId="0" borderId="0" xfId="0" applyFont="1" applyBorder="1" applyAlignment="1">
      <alignment vertical="center" wrapText="1"/>
    </xf>
    <xf numFmtId="0" fontId="47" fillId="0" borderId="0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2" fontId="49" fillId="0" borderId="0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2" fontId="50" fillId="0" borderId="0" xfId="0" applyNumberFormat="1" applyFont="1" applyAlignment="1">
      <alignment horizontal="left" vertical="center"/>
    </xf>
    <xf numFmtId="2" fontId="46" fillId="0" borderId="0" xfId="0" applyNumberFormat="1" applyFont="1" applyAlignment="1">
      <alignment horizontal="left" vertical="center"/>
    </xf>
    <xf numFmtId="2" fontId="46" fillId="0" borderId="0" xfId="0" applyNumberFormat="1" applyFont="1" applyAlignment="1">
      <alignment horizontal="lef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/>
    </xf>
    <xf numFmtId="2" fontId="50" fillId="0" borderId="4" xfId="0" applyNumberFormat="1" applyFont="1" applyBorder="1" applyAlignment="1">
      <alignment horizontal="left" vertical="center"/>
    </xf>
    <xf numFmtId="2" fontId="46" fillId="0" borderId="4" xfId="0" applyNumberFormat="1" applyFont="1" applyBorder="1" applyAlignment="1">
      <alignment horizontal="left" vertical="center"/>
    </xf>
    <xf numFmtId="2" fontId="46" fillId="0" borderId="4" xfId="0" applyNumberFormat="1" applyFont="1" applyBorder="1" applyAlignment="1">
      <alignment horizontal="left" vertical="center" wrapText="1"/>
    </xf>
    <xf numFmtId="0" fontId="48" fillId="0" borderId="1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51" fillId="5" borderId="0" xfId="0" applyFont="1" applyFill="1" applyAlignment="1">
      <alignment horizontal="center"/>
    </xf>
    <xf numFmtId="0" fontId="51" fillId="6" borderId="0" xfId="0" applyFont="1" applyFill="1" applyAlignment="1">
      <alignment horizontal="center"/>
    </xf>
    <xf numFmtId="0" fontId="51" fillId="7" borderId="0" xfId="0" applyFont="1" applyFill="1" applyAlignment="1">
      <alignment horizontal="center"/>
    </xf>
    <xf numFmtId="0" fontId="0" fillId="0" borderId="6" xfId="0" applyBorder="1" applyAlignment="1">
      <alignment wrapText="1"/>
    </xf>
    <xf numFmtId="184" fontId="51" fillId="5" borderId="0" xfId="0" applyNumberFormat="1" applyFont="1" applyFill="1" applyAlignment="1">
      <alignment horizontal="center"/>
    </xf>
    <xf numFmtId="184" fontId="51" fillId="4" borderId="0" xfId="0" applyNumberFormat="1" applyFont="1" applyFill="1" applyAlignment="1">
      <alignment horizontal="center"/>
    </xf>
    <xf numFmtId="184" fontId="51" fillId="6" borderId="0" xfId="0" applyNumberFormat="1" applyFont="1" applyFill="1" applyAlignment="1">
      <alignment horizontal="center"/>
    </xf>
    <xf numFmtId="2" fontId="51" fillId="7" borderId="0" xfId="0" applyNumberFormat="1" applyFont="1" applyFill="1" applyAlignment="1">
      <alignment horizontal="center"/>
    </xf>
    <xf numFmtId="183" fontId="51" fillId="5" borderId="0" xfId="0" applyNumberFormat="1" applyFont="1" applyFill="1" applyAlignment="1">
      <alignment horizontal="center"/>
    </xf>
    <xf numFmtId="183" fontId="46" fillId="4" borderId="7" xfId="0" applyNumberFormat="1" applyFont="1" applyFill="1" applyBorder="1" applyAlignment="1">
      <alignment horizontal="center" vertical="center" wrapText="1"/>
    </xf>
    <xf numFmtId="0" fontId="46" fillId="4" borderId="7" xfId="0" applyFont="1" applyFill="1" applyBorder="1" applyAlignment="1">
      <alignment horizontal="center" vertical="center" wrapText="1"/>
    </xf>
    <xf numFmtId="180" fontId="0" fillId="0" borderId="9" xfId="0" applyNumberFormat="1" applyBorder="1" applyAlignment="1"/>
    <xf numFmtId="2" fontId="52" fillId="7" borderId="0" xfId="0" applyNumberFormat="1" applyFont="1" applyFill="1" applyAlignment="1">
      <alignment horizontal="center"/>
    </xf>
    <xf numFmtId="183" fontId="5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81" fontId="42" fillId="0" borderId="0" xfId="1" applyNumberFormat="1" applyFont="1" applyAlignment="1"/>
    <xf numFmtId="9" fontId="46" fillId="0" borderId="0" xfId="1" applyFont="1" applyFill="1" applyBorder="1" applyAlignment="1">
      <alignment horizontal="center" vertical="center" wrapText="1"/>
    </xf>
    <xf numFmtId="181" fontId="0" fillId="0" borderId="0" xfId="0" applyNumberFormat="1" applyAlignment="1"/>
    <xf numFmtId="184" fontId="0" fillId="0" borderId="0" xfId="0" applyNumberFormat="1" applyAlignment="1"/>
    <xf numFmtId="183" fontId="4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horizontal="left" vertical="center"/>
    </xf>
    <xf numFmtId="184" fontId="0" fillId="0" borderId="0" xfId="0" applyNumberFormat="1">
      <alignment vertical="center"/>
    </xf>
    <xf numFmtId="183" fontId="0" fillId="0" borderId="0" xfId="0" applyNumberFormat="1" applyAlignment="1">
      <alignment horizontal="right"/>
    </xf>
    <xf numFmtId="183" fontId="46" fillId="0" borderId="0" xfId="0" applyNumberFormat="1" applyFont="1" applyFill="1" applyBorder="1" applyAlignment="1">
      <alignment horizontal="right" vertical="center" wrapText="1"/>
    </xf>
    <xf numFmtId="184" fontId="8" fillId="2" borderId="0" xfId="0" applyNumberFormat="1" applyFont="1" applyFill="1" applyBorder="1" applyAlignment="1">
      <alignment horizontal="center" vertical="center" wrapText="1"/>
    </xf>
    <xf numFmtId="184" fontId="8" fillId="2" borderId="0" xfId="0" applyNumberFormat="1" applyFont="1" applyFill="1" applyAlignment="1">
      <alignment horizontal="right" vertical="center" wrapText="1"/>
    </xf>
    <xf numFmtId="184" fontId="8" fillId="2" borderId="1" xfId="0" applyNumberFormat="1" applyFont="1" applyFill="1" applyBorder="1" applyAlignment="1">
      <alignment horizontal="right" vertical="center" wrapText="1"/>
    </xf>
    <xf numFmtId="0" fontId="48" fillId="0" borderId="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84" fontId="8" fillId="2" borderId="17" xfId="0" applyNumberFormat="1" applyFont="1" applyFill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/>
    </xf>
    <xf numFmtId="184" fontId="8" fillId="2" borderId="21" xfId="0" applyNumberFormat="1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184" fontId="8" fillId="2" borderId="16" xfId="0" applyNumberFormat="1" applyFont="1" applyFill="1" applyBorder="1" applyAlignment="1">
      <alignment horizontal="center" vertical="center" wrapText="1"/>
    </xf>
    <xf numFmtId="184" fontId="8" fillId="2" borderId="18" xfId="0" applyNumberFormat="1" applyFont="1" applyFill="1" applyBorder="1" applyAlignment="1">
      <alignment horizontal="center" vertical="center" wrapText="1"/>
    </xf>
    <xf numFmtId="184" fontId="8" fillId="2" borderId="19" xfId="0" applyNumberFormat="1" applyFont="1" applyFill="1" applyBorder="1" applyAlignment="1">
      <alignment horizontal="center" vertical="center" wrapText="1"/>
    </xf>
    <xf numFmtId="184" fontId="8" fillId="2" borderId="14" xfId="0" applyNumberFormat="1" applyFont="1" applyFill="1" applyBorder="1" applyAlignment="1">
      <alignment horizontal="center" vertical="center" wrapText="1"/>
    </xf>
    <xf numFmtId="184" fontId="8" fillId="2" borderId="20" xfId="0" applyNumberFormat="1" applyFont="1" applyFill="1" applyBorder="1" applyAlignment="1">
      <alignment horizontal="center" vertical="center" wrapText="1"/>
    </xf>
    <xf numFmtId="184" fontId="8" fillId="2" borderId="22" xfId="0" applyNumberFormat="1" applyFont="1" applyFill="1" applyBorder="1" applyAlignment="1">
      <alignment horizontal="center" vertical="center" wrapText="1"/>
    </xf>
    <xf numFmtId="184" fontId="0" fillId="0" borderId="16" xfId="0" applyNumberFormat="1" applyBorder="1" applyAlignment="1">
      <alignment horizontal="center" vertical="center"/>
    </xf>
    <xf numFmtId="184" fontId="0" fillId="0" borderId="19" xfId="0" applyNumberFormat="1" applyBorder="1" applyAlignment="1">
      <alignment horizontal="center" vertical="center"/>
    </xf>
    <xf numFmtId="184" fontId="0" fillId="0" borderId="20" xfId="0" applyNumberFormat="1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184" fontId="8" fillId="2" borderId="18" xfId="0" applyNumberFormat="1" applyFont="1" applyFill="1" applyBorder="1" applyAlignment="1">
      <alignment horizontal="justify" vertical="center" wrapText="1"/>
    </xf>
    <xf numFmtId="184" fontId="8" fillId="2" borderId="14" xfId="0" applyNumberFormat="1" applyFont="1" applyFill="1" applyBorder="1" applyAlignment="1">
      <alignment horizontal="justify" vertical="center" wrapText="1"/>
    </xf>
    <xf numFmtId="184" fontId="8" fillId="2" borderId="22" xfId="0" applyNumberFormat="1" applyFont="1" applyFill="1" applyBorder="1" applyAlignment="1">
      <alignment horizontal="justify" vertical="center" wrapText="1"/>
    </xf>
    <xf numFmtId="184" fontId="0" fillId="0" borderId="16" xfId="0" applyNumberFormat="1" applyBorder="1">
      <alignment vertical="center"/>
    </xf>
    <xf numFmtId="184" fontId="0" fillId="0" borderId="18" xfId="0" applyNumberFormat="1" applyBorder="1">
      <alignment vertical="center"/>
    </xf>
    <xf numFmtId="184" fontId="0" fillId="0" borderId="19" xfId="0" applyNumberFormat="1" applyBorder="1">
      <alignment vertical="center"/>
    </xf>
    <xf numFmtId="184" fontId="0" fillId="0" borderId="14" xfId="0" applyNumberFormat="1" applyBorder="1">
      <alignment vertical="center"/>
    </xf>
    <xf numFmtId="184" fontId="8" fillId="2" borderId="19" xfId="0" applyNumberFormat="1" applyFont="1" applyFill="1" applyBorder="1" applyAlignment="1">
      <alignment horizontal="justify" vertical="center" wrapText="1"/>
    </xf>
    <xf numFmtId="184" fontId="0" fillId="0" borderId="22" xfId="0" applyNumberFormat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Font="1">
      <alignment vertical="center"/>
    </xf>
    <xf numFmtId="176" fontId="8" fillId="2" borderId="0" xfId="0" applyNumberFormat="1" applyFont="1" applyFill="1" applyBorder="1" applyAlignment="1">
      <alignment horizontal="justify" vertical="center" wrapText="1"/>
    </xf>
    <xf numFmtId="0" fontId="0" fillId="0" borderId="0" xfId="0" applyFill="1" applyBorder="1">
      <alignment vertical="center"/>
    </xf>
    <xf numFmtId="9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178" fontId="0" fillId="0" borderId="0" xfId="0" applyNumberFormat="1">
      <alignment vertical="center"/>
    </xf>
    <xf numFmtId="0" fontId="44" fillId="0" borderId="0" xfId="0" applyFont="1" applyBorder="1">
      <alignment vertical="center"/>
    </xf>
    <xf numFmtId="0" fontId="0" fillId="3" borderId="0" xfId="0" applyFont="1" applyFill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10" xfId="0" applyFont="1" applyBorder="1">
      <alignment vertical="center"/>
    </xf>
    <xf numFmtId="178" fontId="0" fillId="0" borderId="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9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0" fontId="0" fillId="0" borderId="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183" fontId="0" fillId="0" borderId="0" xfId="0" applyNumberFormat="1" applyBorder="1">
      <alignment vertical="center"/>
    </xf>
    <xf numFmtId="183" fontId="0" fillId="0" borderId="0" xfId="0" applyNumberFormat="1" applyFont="1" applyBorder="1">
      <alignment vertical="center"/>
    </xf>
    <xf numFmtId="0" fontId="0" fillId="0" borderId="9" xfId="0" applyFont="1" applyFill="1" applyBorder="1">
      <alignment vertical="center"/>
    </xf>
    <xf numFmtId="183" fontId="0" fillId="0" borderId="10" xfId="0" applyNumberFormat="1" applyBorder="1">
      <alignment vertical="center"/>
    </xf>
    <xf numFmtId="9" fontId="0" fillId="0" borderId="0" xfId="0" applyNumberFormat="1" applyFont="1" applyFill="1" applyBorder="1">
      <alignment vertical="center"/>
    </xf>
    <xf numFmtId="178" fontId="0" fillId="0" borderId="0" xfId="0" applyNumberFormat="1" applyFont="1" applyBorder="1">
      <alignment vertical="center"/>
    </xf>
    <xf numFmtId="0" fontId="8" fillId="2" borderId="6" xfId="0" applyFont="1" applyFill="1" applyBorder="1" applyAlignment="1">
      <alignment horizontal="justify" vertical="center" wrapText="1"/>
    </xf>
    <xf numFmtId="0" fontId="8" fillId="2" borderId="11" xfId="0" applyFont="1" applyFill="1" applyBorder="1" applyAlignment="1">
      <alignment horizontal="justify" vertical="center" wrapText="1"/>
    </xf>
    <xf numFmtId="182" fontId="42" fillId="0" borderId="0" xfId="1" applyNumberFormat="1" applyFont="1">
      <alignment vertical="center"/>
    </xf>
    <xf numFmtId="0" fontId="44" fillId="3" borderId="0" xfId="0" applyFont="1" applyFill="1" applyBorder="1">
      <alignment vertical="center"/>
    </xf>
    <xf numFmtId="0" fontId="53" fillId="2" borderId="0" xfId="0" applyFont="1" applyFill="1" applyAlignment="1">
      <alignment horizontal="justify" vertical="center" wrapText="1"/>
    </xf>
    <xf numFmtId="176" fontId="44" fillId="0" borderId="0" xfId="0" applyNumberFormat="1" applyFont="1">
      <alignment vertical="center"/>
    </xf>
    <xf numFmtId="177" fontId="44" fillId="0" borderId="0" xfId="0" applyNumberFormat="1" applyFont="1">
      <alignment vertical="center"/>
    </xf>
    <xf numFmtId="0" fontId="47" fillId="4" borderId="7" xfId="0" applyFont="1" applyFill="1" applyBorder="1" applyAlignment="1">
      <alignment horizontal="center" vertical="center" wrapText="1"/>
    </xf>
    <xf numFmtId="0" fontId="49" fillId="4" borderId="7" xfId="0" applyFont="1" applyFill="1" applyBorder="1" applyAlignment="1">
      <alignment vertical="center" wrapText="1"/>
    </xf>
    <xf numFmtId="0" fontId="47" fillId="4" borderId="1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54" fillId="4" borderId="1" xfId="0" applyFont="1" applyFill="1" applyBorder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46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 wrapText="1"/>
    </xf>
    <xf numFmtId="0" fontId="48" fillId="4" borderId="4" xfId="0" applyFont="1" applyFill="1" applyBorder="1" applyAlignment="1">
      <alignment horizontal="center" vertical="center" wrapText="1"/>
    </xf>
    <xf numFmtId="0" fontId="46" fillId="4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86" fontId="0" fillId="0" borderId="0" xfId="0" applyNumberFormat="1" applyBorder="1">
      <alignment vertical="center"/>
    </xf>
    <xf numFmtId="186" fontId="0" fillId="0" borderId="1" xfId="0" applyNumberForma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2" fontId="0" fillId="0" borderId="10" xfId="0" applyNumberFormat="1" applyBorder="1">
      <alignment vertical="center"/>
    </xf>
    <xf numFmtId="186" fontId="0" fillId="0" borderId="10" xfId="0" applyNumberForma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9" fontId="0" fillId="0" borderId="7" xfId="0" applyNumberFormat="1" applyBorder="1">
      <alignment vertical="center"/>
    </xf>
    <xf numFmtId="2" fontId="0" fillId="0" borderId="12" xfId="0" applyNumberFormat="1" applyBorder="1">
      <alignment vertical="center"/>
    </xf>
    <xf numFmtId="0" fontId="0" fillId="0" borderId="8" xfId="0" applyFont="1" applyBorder="1">
      <alignment vertical="center"/>
    </xf>
    <xf numFmtId="2" fontId="0" fillId="0" borderId="0" xfId="0" applyNumberFormat="1" applyBorder="1">
      <alignment vertical="center"/>
    </xf>
    <xf numFmtId="0" fontId="44" fillId="3" borderId="7" xfId="0" applyFont="1" applyFill="1" applyBorder="1">
      <alignment vertical="center"/>
    </xf>
    <xf numFmtId="0" fontId="0" fillId="0" borderId="0" xfId="0" applyFont="1" applyFill="1" applyBorder="1">
      <alignment vertical="center"/>
    </xf>
    <xf numFmtId="186" fontId="0" fillId="0" borderId="0" xfId="0" applyNumberFormat="1">
      <alignment vertical="center"/>
    </xf>
    <xf numFmtId="0" fontId="49" fillId="8" borderId="7" xfId="0" applyFont="1" applyFill="1" applyBorder="1" applyAlignment="1">
      <alignment vertical="center" wrapText="1"/>
    </xf>
    <xf numFmtId="0" fontId="54" fillId="8" borderId="1" xfId="0" applyFont="1" applyFill="1" applyBorder="1" applyAlignment="1">
      <alignment horizontal="center" vertical="center" wrapText="1"/>
    </xf>
    <xf numFmtId="0" fontId="55" fillId="8" borderId="0" xfId="0" applyFont="1" applyFill="1" applyAlignment="1">
      <alignment horizontal="center" vertical="center" wrapText="1"/>
    </xf>
    <xf numFmtId="0" fontId="0" fillId="8" borderId="0" xfId="0" applyFill="1" applyAlignment="1"/>
    <xf numFmtId="0" fontId="47" fillId="0" borderId="0" xfId="0" applyFont="1" applyBorder="1" applyAlignment="1">
      <alignment vertical="center"/>
    </xf>
    <xf numFmtId="0" fontId="47" fillId="0" borderId="10" xfId="0" applyFont="1" applyBorder="1" applyAlignment="1">
      <alignment vertical="top" wrapText="1"/>
    </xf>
    <xf numFmtId="184" fontId="46" fillId="0" borderId="0" xfId="0" applyNumberFormat="1" applyFont="1" applyAlignment="1">
      <alignment horizontal="center" vertical="center"/>
    </xf>
    <xf numFmtId="183" fontId="46" fillId="0" borderId="4" xfId="0" applyNumberFormat="1" applyFont="1" applyBorder="1" applyAlignment="1">
      <alignment horizontal="center" vertical="center"/>
    </xf>
    <xf numFmtId="182" fontId="42" fillId="0" borderId="0" xfId="1" applyNumberFormat="1" applyFont="1">
      <alignment vertical="center"/>
    </xf>
    <xf numFmtId="182" fontId="0" fillId="0" borderId="0" xfId="0" applyNumberFormat="1">
      <alignment vertical="center"/>
    </xf>
    <xf numFmtId="0" fontId="48" fillId="0" borderId="0" xfId="0" applyFont="1" applyFill="1" applyBorder="1" applyAlignment="1">
      <alignment horizontal="center" vertical="center" wrapText="1"/>
    </xf>
    <xf numFmtId="184" fontId="0" fillId="0" borderId="7" xfId="0" applyNumberFormat="1" applyBorder="1">
      <alignment vertical="center"/>
    </xf>
    <xf numFmtId="181" fontId="0" fillId="0" borderId="0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5" xfId="0" applyFont="1" applyBorder="1">
      <alignment vertical="center"/>
    </xf>
    <xf numFmtId="9" fontId="42" fillId="0" borderId="5" xfId="1" applyFont="1" applyBorder="1">
      <alignment vertical="center"/>
    </xf>
    <xf numFmtId="0" fontId="48" fillId="0" borderId="0" xfId="0" applyFon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0" fontId="6" fillId="8" borderId="0" xfId="0" applyFont="1" applyFill="1">
      <alignment vertical="center"/>
    </xf>
    <xf numFmtId="0" fontId="10" fillId="8" borderId="5" xfId="0" applyFont="1" applyFill="1" applyBorder="1" applyAlignment="1">
      <alignment vertical="top" wrapText="1"/>
    </xf>
    <xf numFmtId="183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8" xfId="0" applyNumberFormat="1" applyBorder="1">
      <alignment vertical="center"/>
    </xf>
    <xf numFmtId="1" fontId="0" fillId="0" borderId="10" xfId="0" applyNumberFormat="1" applyBorder="1">
      <alignment vertical="center"/>
    </xf>
    <xf numFmtId="1" fontId="0" fillId="0" borderId="12" xfId="0" applyNumberFormat="1" applyBorder="1">
      <alignment vertical="center"/>
    </xf>
    <xf numFmtId="10" fontId="0" fillId="0" borderId="7" xfId="0" applyNumberFormat="1" applyBorder="1">
      <alignment vertical="center"/>
    </xf>
    <xf numFmtId="0" fontId="44" fillId="3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56" fillId="3" borderId="0" xfId="0" applyFont="1" applyFill="1" applyBorder="1">
      <alignment vertical="center"/>
    </xf>
    <xf numFmtId="0" fontId="0" fillId="3" borderId="0" xfId="0" applyFont="1" applyFill="1">
      <alignment vertical="center"/>
    </xf>
    <xf numFmtId="9" fontId="0" fillId="0" borderId="1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9" fontId="44" fillId="3" borderId="0" xfId="0" applyNumberFormat="1" applyFont="1" applyFill="1" applyBorder="1">
      <alignment vertical="center"/>
    </xf>
    <xf numFmtId="0" fontId="0" fillId="0" borderId="7" xfId="0" applyFont="1" applyBorder="1">
      <alignment vertical="center"/>
    </xf>
    <xf numFmtId="182" fontId="42" fillId="0" borderId="0" xfId="1" applyNumberFormat="1" applyFont="1">
      <alignment vertical="center"/>
    </xf>
    <xf numFmtId="0" fontId="0" fillId="0" borderId="0" xfId="0" applyFont="1">
      <alignment vertical="center"/>
    </xf>
    <xf numFmtId="183" fontId="8" fillId="2" borderId="16" xfId="0" applyNumberFormat="1" applyFont="1" applyFill="1" applyBorder="1" applyAlignment="1">
      <alignment horizontal="center" vertical="center" wrapText="1"/>
    </xf>
    <xf numFmtId="183" fontId="8" fillId="2" borderId="19" xfId="0" applyNumberFormat="1" applyFont="1" applyFill="1" applyBorder="1" applyAlignment="1">
      <alignment horizontal="center" vertical="center" wrapText="1"/>
    </xf>
    <xf numFmtId="183" fontId="8" fillId="2" borderId="20" xfId="0" applyNumberFormat="1" applyFont="1" applyFill="1" applyBorder="1" applyAlignment="1">
      <alignment horizontal="center" vertical="center" wrapText="1"/>
    </xf>
    <xf numFmtId="187" fontId="0" fillId="0" borderId="0" xfId="0" applyNumberFormat="1">
      <alignment vertical="center"/>
    </xf>
    <xf numFmtId="182" fontId="42" fillId="0" borderId="0" xfId="1" applyNumberFormat="1" applyFont="1">
      <alignment vertical="center"/>
    </xf>
    <xf numFmtId="2" fontId="0" fillId="0" borderId="0" xfId="0" applyNumberFormat="1">
      <alignment vertical="center"/>
    </xf>
    <xf numFmtId="10" fontId="42" fillId="0" borderId="0" xfId="1" applyNumberFormat="1" applyFont="1" applyFill="1" applyBorder="1">
      <alignment vertical="center"/>
    </xf>
    <xf numFmtId="0" fontId="44" fillId="3" borderId="16" xfId="0" applyFont="1" applyFill="1" applyBorder="1">
      <alignment vertical="center"/>
    </xf>
    <xf numFmtId="0" fontId="0" fillId="0" borderId="18" xfId="0" applyBorder="1">
      <alignment vertical="center"/>
    </xf>
    <xf numFmtId="0" fontId="56" fillId="0" borderId="19" xfId="0" applyFont="1" applyBorder="1">
      <alignment vertical="center"/>
    </xf>
    <xf numFmtId="9" fontId="44" fillId="3" borderId="21" xfId="0" applyNumberFormat="1" applyFont="1" applyFill="1" applyBorder="1">
      <alignment vertical="center"/>
    </xf>
    <xf numFmtId="9" fontId="0" fillId="0" borderId="21" xfId="0" applyNumberFormat="1" applyFont="1" applyFill="1" applyBorder="1">
      <alignment vertical="center"/>
    </xf>
    <xf numFmtId="0" fontId="0" fillId="0" borderId="22" xfId="0" applyBorder="1">
      <alignment vertical="center"/>
    </xf>
    <xf numFmtId="0" fontId="48" fillId="0" borderId="0" xfId="0" applyFont="1" applyBorder="1" applyAlignment="1">
      <alignment horizontal="center" vertical="center" wrapText="1"/>
    </xf>
    <xf numFmtId="183" fontId="46" fillId="0" borderId="0" xfId="0" applyNumberFormat="1" applyFont="1" applyBorder="1" applyAlignment="1">
      <alignment horizontal="center" vertical="center"/>
    </xf>
    <xf numFmtId="180" fontId="46" fillId="0" borderId="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183" fontId="0" fillId="0" borderId="14" xfId="0" applyNumberFormat="1" applyBorder="1">
      <alignment vertical="center"/>
    </xf>
    <xf numFmtId="0" fontId="0" fillId="0" borderId="21" xfId="0" applyFont="1" applyBorder="1">
      <alignment vertical="center"/>
    </xf>
    <xf numFmtId="183" fontId="0" fillId="0" borderId="21" xfId="0" applyNumberFormat="1" applyBorder="1">
      <alignment vertical="center"/>
    </xf>
    <xf numFmtId="183" fontId="0" fillId="0" borderId="22" xfId="0" applyNumberFormat="1" applyBorder="1">
      <alignment vertical="center"/>
    </xf>
    <xf numFmtId="184" fontId="0" fillId="0" borderId="0" xfId="0" applyNumberFormat="1" applyBorder="1">
      <alignment vertical="center"/>
    </xf>
    <xf numFmtId="184" fontId="0" fillId="0" borderId="20" xfId="0" applyNumberFormat="1" applyBorder="1">
      <alignment vertical="center"/>
    </xf>
    <xf numFmtId="184" fontId="0" fillId="0" borderId="21" xfId="0" applyNumberFormat="1" applyBorder="1">
      <alignment vertical="center"/>
    </xf>
    <xf numFmtId="1" fontId="0" fillId="0" borderId="0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21" xfId="0" applyNumberFormat="1" applyBorder="1">
      <alignment vertical="center"/>
    </xf>
    <xf numFmtId="1" fontId="0" fillId="0" borderId="22" xfId="0" applyNumberFormat="1" applyBorder="1">
      <alignment vertical="center"/>
    </xf>
    <xf numFmtId="0" fontId="0" fillId="0" borderId="0" xfId="0" applyFill="1">
      <alignment vertical="center"/>
    </xf>
    <xf numFmtId="0" fontId="0" fillId="9" borderId="0" xfId="0" applyFont="1" applyFill="1">
      <alignment vertical="center"/>
    </xf>
    <xf numFmtId="0" fontId="0" fillId="9" borderId="0" xfId="0" applyFill="1">
      <alignment vertical="center"/>
    </xf>
    <xf numFmtId="57" fontId="0" fillId="9" borderId="0" xfId="0" applyNumberFormat="1" applyFill="1">
      <alignment vertical="center"/>
    </xf>
    <xf numFmtId="0" fontId="43" fillId="0" borderId="0" xfId="2" applyAlignment="1" applyProtection="1">
      <alignment vertical="center"/>
    </xf>
    <xf numFmtId="0" fontId="0" fillId="3" borderId="0" xfId="0" applyFont="1" applyFill="1">
      <alignment vertical="center"/>
    </xf>
    <xf numFmtId="183" fontId="0" fillId="10" borderId="16" xfId="0" applyNumberFormat="1" applyFill="1" applyBorder="1">
      <alignment vertical="center"/>
    </xf>
    <xf numFmtId="183" fontId="0" fillId="10" borderId="19" xfId="0" applyNumberFormat="1" applyFill="1" applyBorder="1">
      <alignment vertical="center"/>
    </xf>
    <xf numFmtId="183" fontId="0" fillId="10" borderId="20" xfId="0" applyNumberFormat="1" applyFill="1" applyBorder="1">
      <alignment vertical="center"/>
    </xf>
    <xf numFmtId="0" fontId="48" fillId="4" borderId="0" xfId="0" applyFont="1" applyFill="1" applyAlignment="1">
      <alignment horizontal="center" vertical="center" wrapText="1"/>
    </xf>
    <xf numFmtId="2" fontId="49" fillId="10" borderId="0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9" fontId="42" fillId="10" borderId="7" xfId="1" applyFont="1" applyFill="1" applyBorder="1">
      <alignment vertical="center"/>
    </xf>
    <xf numFmtId="9" fontId="0" fillId="10" borderId="7" xfId="0" applyNumberForma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9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10" borderId="0" xfId="0" applyFill="1">
      <alignment vertical="center"/>
    </xf>
    <xf numFmtId="0" fontId="0" fillId="0" borderId="10" xfId="0" applyFont="1" applyFill="1" applyBorder="1">
      <alignment vertical="center"/>
    </xf>
    <xf numFmtId="0" fontId="0" fillId="0" borderId="0" xfId="0" applyFont="1" applyBorder="1">
      <alignment vertical="center"/>
    </xf>
    <xf numFmtId="183" fontId="0" fillId="0" borderId="0" xfId="0" applyNumberFormat="1" applyAlignment="1">
      <alignment horizontal="center" vertical="center"/>
    </xf>
    <xf numFmtId="182" fontId="42" fillId="0" borderId="0" xfId="1" applyNumberFormat="1" applyFont="1" applyAlignment="1">
      <alignment horizontal="center" vertical="center"/>
    </xf>
    <xf numFmtId="183" fontId="0" fillId="10" borderId="0" xfId="0" applyNumberForma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84" fontId="46" fillId="10" borderId="0" xfId="0" applyNumberFormat="1" applyFont="1" applyFill="1" applyAlignment="1">
      <alignment horizontal="center" vertical="center"/>
    </xf>
    <xf numFmtId="2" fontId="0" fillId="0" borderId="0" xfId="0" applyNumberFormat="1" applyAlignment="1"/>
    <xf numFmtId="0" fontId="47" fillId="0" borderId="26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46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6" fillId="10" borderId="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50" fillId="10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10" fontId="0" fillId="0" borderId="0" xfId="0" applyNumberFormat="1" applyFont="1" applyFill="1" applyBorder="1">
      <alignment vertical="center"/>
    </xf>
    <xf numFmtId="183" fontId="0" fillId="0" borderId="0" xfId="0" applyNumberFormat="1" applyFill="1" applyBorder="1">
      <alignment vertical="center"/>
    </xf>
    <xf numFmtId="0" fontId="0" fillId="10" borderId="5" xfId="0" applyFill="1" applyBorder="1">
      <alignment vertical="center"/>
    </xf>
    <xf numFmtId="9" fontId="42" fillId="10" borderId="5" xfId="1" applyFont="1" applyFill="1" applyBorder="1">
      <alignment vertical="center"/>
    </xf>
    <xf numFmtId="0" fontId="44" fillId="10" borderId="0" xfId="0" applyFont="1" applyFill="1">
      <alignment vertical="center"/>
    </xf>
    <xf numFmtId="0" fontId="42" fillId="0" borderId="0" xfId="0" applyFont="1">
      <alignment vertical="center"/>
    </xf>
    <xf numFmtId="183" fontId="0" fillId="0" borderId="0" xfId="0" applyNumberFormat="1" applyFont="1" applyFill="1" applyBorder="1">
      <alignment vertical="center"/>
    </xf>
    <xf numFmtId="183" fontId="44" fillId="10" borderId="0" xfId="0" applyNumberFormat="1" applyFont="1" applyFill="1" applyBorder="1">
      <alignment vertical="center"/>
    </xf>
    <xf numFmtId="0" fontId="42" fillId="0" borderId="0" xfId="0" applyFont="1" applyBorder="1">
      <alignment vertical="center"/>
    </xf>
    <xf numFmtId="183" fontId="0" fillId="11" borderId="0" xfId="0" applyNumberFormat="1" applyFont="1" applyFill="1" applyBorder="1">
      <alignment vertical="center"/>
    </xf>
    <xf numFmtId="0" fontId="57" fillId="0" borderId="0" xfId="0" applyFont="1">
      <alignment vertical="center"/>
    </xf>
    <xf numFmtId="183" fontId="50" fillId="3" borderId="10" xfId="0" applyNumberFormat="1" applyFont="1" applyFill="1" applyBorder="1" applyAlignment="1">
      <alignment horizontal="center" vertical="center" wrapText="1"/>
    </xf>
    <xf numFmtId="183" fontId="50" fillId="3" borderId="12" xfId="0" applyNumberFormat="1" applyFont="1" applyFill="1" applyBorder="1" applyAlignment="1">
      <alignment horizontal="center" vertical="center" wrapText="1"/>
    </xf>
    <xf numFmtId="0" fontId="5" fillId="0" borderId="0" xfId="3">
      <alignment vertical="center"/>
    </xf>
    <xf numFmtId="0" fontId="5" fillId="0" borderId="0" xfId="3" applyFont="1">
      <alignment vertical="center"/>
    </xf>
    <xf numFmtId="0" fontId="5" fillId="3" borderId="0" xfId="3" applyFill="1">
      <alignment vertical="center"/>
    </xf>
    <xf numFmtId="0" fontId="5" fillId="3" borderId="0" xfId="3" applyFont="1" applyFill="1">
      <alignment vertical="center"/>
    </xf>
    <xf numFmtId="0" fontId="44" fillId="3" borderId="0" xfId="3" applyFont="1" applyFill="1">
      <alignment vertical="center"/>
    </xf>
    <xf numFmtId="0" fontId="5" fillId="9" borderId="0" xfId="3" applyFill="1">
      <alignment vertical="center"/>
    </xf>
    <xf numFmtId="0" fontId="5" fillId="9" borderId="0" xfId="3" applyFont="1" applyFill="1">
      <alignment vertical="center"/>
    </xf>
    <xf numFmtId="57" fontId="5" fillId="9" borderId="0" xfId="3" applyNumberFormat="1" applyFill="1">
      <alignment vertical="center"/>
    </xf>
    <xf numFmtId="0" fontId="65" fillId="0" borderId="0" xfId="3" applyFont="1">
      <alignment vertical="center"/>
    </xf>
    <xf numFmtId="0" fontId="66" fillId="0" borderId="0" xfId="10">
      <alignment vertical="center"/>
    </xf>
    <xf numFmtId="2" fontId="5" fillId="3" borderId="22" xfId="3" applyNumberFormat="1" applyFill="1" applyBorder="1">
      <alignment vertical="center"/>
    </xf>
    <xf numFmtId="0" fontId="5" fillId="0" borderId="0" xfId="3" applyFill="1" applyBorder="1">
      <alignment vertical="center"/>
    </xf>
    <xf numFmtId="0" fontId="5" fillId="0" borderId="20" xfId="3" applyBorder="1">
      <alignment vertical="center"/>
    </xf>
    <xf numFmtId="0" fontId="5" fillId="0" borderId="14" xfId="3" applyBorder="1">
      <alignment vertical="center"/>
    </xf>
    <xf numFmtId="0" fontId="5" fillId="0" borderId="19" xfId="3" applyBorder="1">
      <alignment vertical="center"/>
    </xf>
    <xf numFmtId="0" fontId="5" fillId="0" borderId="18" xfId="3" applyBorder="1">
      <alignment vertical="center"/>
    </xf>
    <xf numFmtId="0" fontId="5" fillId="0" borderId="16" xfId="3" applyBorder="1">
      <alignment vertical="center"/>
    </xf>
    <xf numFmtId="2" fontId="5" fillId="0" borderId="0" xfId="3" applyNumberFormat="1">
      <alignment vertical="center"/>
    </xf>
    <xf numFmtId="1" fontId="5" fillId="0" borderId="0" xfId="3" applyNumberFormat="1">
      <alignment vertical="center"/>
    </xf>
    <xf numFmtId="0" fontId="5" fillId="0" borderId="22" xfId="3" applyBorder="1">
      <alignment vertical="center"/>
    </xf>
    <xf numFmtId="0" fontId="5" fillId="0" borderId="21" xfId="3" applyBorder="1">
      <alignment vertical="center"/>
    </xf>
    <xf numFmtId="2" fontId="5" fillId="0" borderId="20" xfId="3" applyNumberFormat="1" applyBorder="1">
      <alignment vertical="center"/>
    </xf>
    <xf numFmtId="0" fontId="5" fillId="0" borderId="0" xfId="3" applyBorder="1">
      <alignment vertical="center"/>
    </xf>
    <xf numFmtId="0" fontId="5" fillId="0" borderId="17" xfId="3" applyBorder="1">
      <alignment vertical="center"/>
    </xf>
    <xf numFmtId="2" fontId="5" fillId="0" borderId="0" xfId="3" applyNumberFormat="1" applyBorder="1">
      <alignment vertical="center"/>
    </xf>
    <xf numFmtId="176" fontId="5" fillId="0" borderId="0" xfId="3" applyNumberFormat="1">
      <alignment vertical="center"/>
    </xf>
    <xf numFmtId="176" fontId="5" fillId="0" borderId="22" xfId="3" applyNumberFormat="1" applyBorder="1">
      <alignment vertical="center"/>
    </xf>
    <xf numFmtId="176" fontId="5" fillId="0" borderId="21" xfId="3" applyNumberFormat="1" applyBorder="1">
      <alignment vertical="center"/>
    </xf>
    <xf numFmtId="177" fontId="5" fillId="0" borderId="21" xfId="3" applyNumberFormat="1" applyBorder="1">
      <alignment vertical="center"/>
    </xf>
    <xf numFmtId="180" fontId="5" fillId="0" borderId="21" xfId="3" applyNumberFormat="1" applyBorder="1">
      <alignment vertical="center"/>
    </xf>
    <xf numFmtId="176" fontId="5" fillId="0" borderId="14" xfId="3" applyNumberFormat="1" applyBorder="1">
      <alignment vertical="center"/>
    </xf>
    <xf numFmtId="176" fontId="5" fillId="0" borderId="0" xfId="3" applyNumberFormat="1" applyBorder="1">
      <alignment vertical="center"/>
    </xf>
    <xf numFmtId="177" fontId="5" fillId="0" borderId="0" xfId="3" applyNumberFormat="1" applyBorder="1">
      <alignment vertical="center"/>
    </xf>
    <xf numFmtId="180" fontId="5" fillId="0" borderId="0" xfId="3" applyNumberFormat="1" applyBorder="1">
      <alignment vertical="center"/>
    </xf>
    <xf numFmtId="176" fontId="5" fillId="0" borderId="18" xfId="3" applyNumberFormat="1" applyBorder="1">
      <alignment vertical="center"/>
    </xf>
    <xf numFmtId="176" fontId="5" fillId="0" borderId="17" xfId="3" applyNumberFormat="1" applyBorder="1">
      <alignment vertical="center"/>
    </xf>
    <xf numFmtId="177" fontId="5" fillId="0" borderId="17" xfId="3" applyNumberFormat="1" applyBorder="1">
      <alignment vertical="center"/>
    </xf>
    <xf numFmtId="180" fontId="5" fillId="0" borderId="17" xfId="3" applyNumberFormat="1" applyBorder="1">
      <alignment vertical="center"/>
    </xf>
    <xf numFmtId="176" fontId="5" fillId="0" borderId="25" xfId="3" applyNumberFormat="1" applyBorder="1">
      <alignment vertical="center"/>
    </xf>
    <xf numFmtId="176" fontId="5" fillId="0" borderId="24" xfId="3" applyNumberFormat="1" applyBorder="1">
      <alignment vertical="center"/>
    </xf>
    <xf numFmtId="177" fontId="5" fillId="0" borderId="24" xfId="3" applyNumberFormat="1" applyBorder="1">
      <alignment vertical="center"/>
    </xf>
    <xf numFmtId="180" fontId="5" fillId="0" borderId="24" xfId="3" applyNumberFormat="1" applyBorder="1">
      <alignment vertical="center"/>
    </xf>
    <xf numFmtId="0" fontId="5" fillId="0" borderId="24" xfId="3" applyBorder="1">
      <alignment vertical="center"/>
    </xf>
    <xf numFmtId="0" fontId="5" fillId="0" borderId="23" xfId="3" applyBorder="1">
      <alignment vertical="center"/>
    </xf>
    <xf numFmtId="0" fontId="5" fillId="0" borderId="0" xfId="3" applyAlignment="1">
      <alignment vertical="center" wrapText="1"/>
    </xf>
    <xf numFmtId="0" fontId="5" fillId="0" borderId="18" xfId="3" applyBorder="1" applyAlignment="1">
      <alignment vertical="center" wrapText="1"/>
    </xf>
    <xf numFmtId="0" fontId="5" fillId="0" borderId="17" xfId="3" applyBorder="1" applyAlignment="1">
      <alignment vertical="center" wrapText="1"/>
    </xf>
    <xf numFmtId="0" fontId="5" fillId="0" borderId="16" xfId="3" applyBorder="1" applyAlignment="1">
      <alignment vertical="center" wrapText="1"/>
    </xf>
    <xf numFmtId="182" fontId="5" fillId="0" borderId="22" xfId="3" applyNumberFormat="1" applyBorder="1">
      <alignment vertical="center"/>
    </xf>
    <xf numFmtId="182" fontId="0" fillId="0" borderId="21" xfId="11" applyNumberFormat="1" applyFont="1" applyBorder="1">
      <alignment vertical="center"/>
    </xf>
    <xf numFmtId="182" fontId="5" fillId="0" borderId="21" xfId="3" applyNumberFormat="1" applyBorder="1">
      <alignment vertical="center"/>
    </xf>
    <xf numFmtId="182" fontId="5" fillId="0" borderId="14" xfId="3" applyNumberFormat="1" applyBorder="1">
      <alignment vertical="center"/>
    </xf>
    <xf numFmtId="182" fontId="0" fillId="0" borderId="0" xfId="11" applyNumberFormat="1" applyFont="1" applyBorder="1">
      <alignment vertical="center"/>
    </xf>
    <xf numFmtId="182" fontId="5" fillId="0" borderId="0" xfId="3" applyNumberFormat="1" applyBorder="1">
      <alignment vertical="center"/>
    </xf>
    <xf numFmtId="183" fontId="5" fillId="0" borderId="22" xfId="3" applyNumberFormat="1" applyBorder="1">
      <alignment vertical="center"/>
    </xf>
    <xf numFmtId="183" fontId="5" fillId="0" borderId="21" xfId="3" applyNumberFormat="1" applyBorder="1">
      <alignment vertical="center"/>
    </xf>
    <xf numFmtId="183" fontId="5" fillId="0" borderId="14" xfId="3" applyNumberFormat="1" applyBorder="1">
      <alignment vertical="center"/>
    </xf>
    <xf numFmtId="183" fontId="5" fillId="0" borderId="0" xfId="3" applyNumberFormat="1" applyBorder="1">
      <alignment vertical="center"/>
    </xf>
    <xf numFmtId="2" fontId="5" fillId="0" borderId="21" xfId="3" applyNumberFormat="1" applyBorder="1">
      <alignment vertical="center"/>
    </xf>
    <xf numFmtId="182" fontId="0" fillId="0" borderId="14" xfId="11" applyNumberFormat="1" applyFont="1" applyBorder="1">
      <alignment vertical="center"/>
    </xf>
    <xf numFmtId="2" fontId="5" fillId="0" borderId="19" xfId="3" applyNumberFormat="1" applyBorder="1">
      <alignment vertical="center"/>
    </xf>
    <xf numFmtId="183" fontId="5" fillId="0" borderId="20" xfId="3" applyNumberFormat="1" applyBorder="1">
      <alignment vertical="center"/>
    </xf>
    <xf numFmtId="183" fontId="5" fillId="0" borderId="19" xfId="3" applyNumberFormat="1" applyBorder="1">
      <alignment vertical="center"/>
    </xf>
    <xf numFmtId="182" fontId="0" fillId="0" borderId="0" xfId="11" applyNumberFormat="1" applyFont="1">
      <alignment vertical="center"/>
    </xf>
    <xf numFmtId="0" fontId="5" fillId="8" borderId="0" xfId="3" applyFill="1">
      <alignment vertical="center"/>
    </xf>
    <xf numFmtId="189" fontId="5" fillId="0" borderId="0" xfId="3" applyNumberFormat="1">
      <alignment vertical="center"/>
    </xf>
    <xf numFmtId="176" fontId="5" fillId="0" borderId="38" xfId="3" applyNumberFormat="1" applyFill="1" applyBorder="1">
      <alignment vertical="center"/>
    </xf>
    <xf numFmtId="0" fontId="5" fillId="4" borderId="5" xfId="3" applyFill="1" applyBorder="1">
      <alignment vertical="center"/>
    </xf>
    <xf numFmtId="0" fontId="5" fillId="8" borderId="5" xfId="3" applyFill="1" applyBorder="1">
      <alignment vertical="center"/>
    </xf>
    <xf numFmtId="176" fontId="5" fillId="8" borderId="5" xfId="3" applyNumberFormat="1" applyFill="1" applyBorder="1">
      <alignment vertical="center"/>
    </xf>
    <xf numFmtId="176" fontId="5" fillId="4" borderId="5" xfId="3" applyNumberFormat="1" applyFill="1" applyBorder="1">
      <alignment vertical="center"/>
    </xf>
    <xf numFmtId="176" fontId="5" fillId="0" borderId="5" xfId="3" applyNumberFormat="1" applyBorder="1">
      <alignment vertical="center"/>
    </xf>
    <xf numFmtId="182" fontId="5" fillId="0" borderId="5" xfId="3" applyNumberFormat="1" applyBorder="1">
      <alignment vertical="center"/>
    </xf>
    <xf numFmtId="0" fontId="5" fillId="0" borderId="5" xfId="3" applyBorder="1">
      <alignment vertical="center"/>
    </xf>
    <xf numFmtId="182" fontId="5" fillId="3" borderId="5" xfId="3" applyNumberFormat="1" applyFill="1" applyBorder="1">
      <alignment vertical="center"/>
    </xf>
    <xf numFmtId="9" fontId="5" fillId="0" borderId="5" xfId="3" applyNumberFormat="1" applyBorder="1">
      <alignment vertical="center"/>
    </xf>
    <xf numFmtId="176" fontId="58" fillId="3" borderId="5" xfId="3" applyNumberFormat="1" applyFont="1" applyFill="1" applyBorder="1">
      <alignment vertical="center"/>
    </xf>
    <xf numFmtId="176" fontId="59" fillId="4" borderId="5" xfId="3" applyNumberFormat="1" applyFont="1" applyFill="1" applyBorder="1">
      <alignment vertical="center"/>
    </xf>
    <xf numFmtId="0" fontId="5" fillId="4" borderId="5" xfId="3" applyFill="1" applyBorder="1" applyAlignment="1">
      <alignment vertical="center" wrapText="1"/>
    </xf>
    <xf numFmtId="0" fontId="5" fillId="8" borderId="5" xfId="3" applyFill="1" applyBorder="1" applyAlignment="1">
      <alignment vertical="center" wrapText="1"/>
    </xf>
    <xf numFmtId="0" fontId="5" fillId="0" borderId="5" xfId="3" applyBorder="1" applyAlignment="1">
      <alignment vertical="center" wrapText="1"/>
    </xf>
    <xf numFmtId="176" fontId="5" fillId="3" borderId="0" xfId="3" applyNumberFormat="1" applyFill="1">
      <alignment vertical="center"/>
    </xf>
    <xf numFmtId="178" fontId="5" fillId="0" borderId="0" xfId="3" applyNumberFormat="1">
      <alignment vertical="center"/>
    </xf>
    <xf numFmtId="178" fontId="5" fillId="3" borderId="0" xfId="3" applyNumberFormat="1" applyFill="1">
      <alignment vertical="center"/>
    </xf>
    <xf numFmtId="178" fontId="44" fillId="0" borderId="0" xfId="3" applyNumberFormat="1" applyFont="1">
      <alignment vertical="center"/>
    </xf>
    <xf numFmtId="0" fontId="44" fillId="0" borderId="0" xfId="3" applyFont="1">
      <alignment vertical="center"/>
    </xf>
    <xf numFmtId="176" fontId="44" fillId="0" borderId="0" xfId="3" applyNumberFormat="1" applyFont="1">
      <alignment vertical="center"/>
    </xf>
    <xf numFmtId="0" fontId="5" fillId="4" borderId="0" xfId="3" applyFill="1">
      <alignment vertical="center"/>
    </xf>
    <xf numFmtId="176" fontId="5" fillId="4" borderId="0" xfId="3" applyNumberFormat="1" applyFill="1">
      <alignment vertical="center"/>
    </xf>
    <xf numFmtId="178" fontId="5" fillId="4" borderId="0" xfId="3" applyNumberFormat="1" applyFill="1">
      <alignment vertical="center"/>
    </xf>
    <xf numFmtId="178" fontId="44" fillId="4" borderId="0" xfId="3" applyNumberFormat="1" applyFont="1" applyFill="1" applyBorder="1">
      <alignment vertical="center"/>
    </xf>
    <xf numFmtId="176" fontId="5" fillId="4" borderId="0" xfId="3" applyNumberFormat="1" applyFill="1" applyBorder="1">
      <alignment vertical="center"/>
    </xf>
    <xf numFmtId="176" fontId="44" fillId="4" borderId="0" xfId="3" applyNumberFormat="1" applyFont="1" applyFill="1">
      <alignment vertical="center"/>
    </xf>
    <xf numFmtId="0" fontId="44" fillId="4" borderId="0" xfId="3" applyFont="1" applyFill="1">
      <alignment vertical="center"/>
    </xf>
    <xf numFmtId="10" fontId="5" fillId="4" borderId="0" xfId="3" applyNumberFormat="1" applyFill="1">
      <alignment vertical="center"/>
    </xf>
    <xf numFmtId="0" fontId="5" fillId="4" borderId="0" xfId="3" applyFill="1" applyBorder="1">
      <alignment vertical="center"/>
    </xf>
    <xf numFmtId="10" fontId="5" fillId="0" borderId="0" xfId="3" applyNumberFormat="1">
      <alignment vertical="center"/>
    </xf>
    <xf numFmtId="9" fontId="5" fillId="0" borderId="0" xfId="3" applyNumberFormat="1">
      <alignment vertical="center"/>
    </xf>
    <xf numFmtId="178" fontId="44" fillId="0" borderId="0" xfId="3" applyNumberFormat="1" applyFont="1" applyFill="1">
      <alignment vertical="center"/>
    </xf>
    <xf numFmtId="176" fontId="44" fillId="3" borderId="0" xfId="3" applyNumberFormat="1" applyFont="1" applyFill="1">
      <alignment vertical="center"/>
    </xf>
    <xf numFmtId="178" fontId="44" fillId="4" borderId="0" xfId="3" applyNumberFormat="1" applyFont="1" applyFill="1">
      <alignment vertical="center"/>
    </xf>
    <xf numFmtId="183" fontId="44" fillId="4" borderId="0" xfId="3" applyNumberFormat="1" applyFont="1" applyFill="1">
      <alignment vertical="center"/>
    </xf>
    <xf numFmtId="183" fontId="44" fillId="0" borderId="0" xfId="3" applyNumberFormat="1" applyFont="1">
      <alignment vertical="center"/>
    </xf>
    <xf numFmtId="9" fontId="5" fillId="4" borderId="0" xfId="3" applyNumberFormat="1" applyFill="1">
      <alignment vertical="center"/>
    </xf>
    <xf numFmtId="2" fontId="44" fillId="0" borderId="0" xfId="3" applyNumberFormat="1" applyFont="1">
      <alignment vertical="center"/>
    </xf>
    <xf numFmtId="0" fontId="73" fillId="4" borderId="0" xfId="3" applyFont="1" applyFill="1">
      <alignment vertical="center"/>
    </xf>
    <xf numFmtId="178" fontId="73" fillId="4" borderId="0" xfId="3" applyNumberFormat="1" applyFont="1" applyFill="1">
      <alignment vertical="center"/>
    </xf>
    <xf numFmtId="176" fontId="73" fillId="4" borderId="0" xfId="3" applyNumberFormat="1" applyFont="1" applyFill="1">
      <alignment vertical="center"/>
    </xf>
    <xf numFmtId="0" fontId="74" fillId="4" borderId="0" xfId="3" applyFont="1" applyFill="1">
      <alignment vertical="center"/>
    </xf>
    <xf numFmtId="9" fontId="73" fillId="4" borderId="0" xfId="3" applyNumberFormat="1" applyFont="1" applyFill="1">
      <alignment vertical="center"/>
    </xf>
    <xf numFmtId="183" fontId="73" fillId="4" borderId="0" xfId="3" applyNumberFormat="1" applyFont="1" applyFill="1">
      <alignment vertical="center"/>
    </xf>
    <xf numFmtId="178" fontId="5" fillId="0" borderId="0" xfId="3" applyNumberFormat="1" applyAlignment="1">
      <alignment vertical="center" wrapText="1"/>
    </xf>
    <xf numFmtId="176" fontId="5" fillId="3" borderId="0" xfId="3" applyNumberFormat="1" applyFill="1" applyAlignment="1">
      <alignment vertical="center" wrapText="1"/>
    </xf>
    <xf numFmtId="178" fontId="5" fillId="3" borderId="0" xfId="3" applyNumberFormat="1" applyFill="1" applyAlignment="1">
      <alignment vertical="center" wrapText="1"/>
    </xf>
    <xf numFmtId="176" fontId="5" fillId="0" borderId="0" xfId="3" applyNumberFormat="1" applyAlignment="1">
      <alignment vertical="center" wrapText="1"/>
    </xf>
    <xf numFmtId="178" fontId="58" fillId="0" borderId="0" xfId="3" applyNumberFormat="1" applyFont="1" applyAlignment="1">
      <alignment vertical="center" wrapText="1"/>
    </xf>
    <xf numFmtId="0" fontId="58" fillId="0" borderId="0" xfId="3" applyFont="1" applyAlignment="1">
      <alignment vertical="center" wrapText="1"/>
    </xf>
    <xf numFmtId="176" fontId="44" fillId="0" borderId="0" xfId="3" applyNumberFormat="1" applyFont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0" fontId="42" fillId="0" borderId="0" xfId="1" applyNumberFormat="1" applyFont="1" applyBorder="1">
      <alignment vertical="center"/>
    </xf>
    <xf numFmtId="2" fontId="0" fillId="0" borderId="9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2" fillId="0" borderId="7" xfId="0" applyFont="1" applyBorder="1">
      <alignment vertical="center"/>
    </xf>
    <xf numFmtId="0" fontId="42" fillId="0" borderId="0" xfId="0" applyFont="1" applyFill="1" applyBorder="1">
      <alignment vertical="center"/>
    </xf>
    <xf numFmtId="0" fontId="42" fillId="0" borderId="1" xfId="0" applyFont="1" applyFill="1" applyBorder="1">
      <alignment vertical="center"/>
    </xf>
    <xf numFmtId="182" fontId="0" fillId="0" borderId="0" xfId="1" applyNumberFormat="1" applyFont="1" applyBorder="1">
      <alignment vertical="center"/>
    </xf>
    <xf numFmtId="182" fontId="0" fillId="0" borderId="1" xfId="1" applyNumberFormat="1" applyFont="1" applyBorder="1">
      <alignment vertical="center"/>
    </xf>
    <xf numFmtId="0" fontId="44" fillId="0" borderId="0" xfId="0" applyFont="1" applyAlignment="1"/>
    <xf numFmtId="0" fontId="4" fillId="0" borderId="5" xfId="3" applyFont="1" applyBorder="1">
      <alignment vertical="center"/>
    </xf>
    <xf numFmtId="0" fontId="4" fillId="0" borderId="5" xfId="3" applyFont="1" applyBorder="1" applyAlignment="1">
      <alignment vertical="center" wrapText="1"/>
    </xf>
    <xf numFmtId="0" fontId="4" fillId="8" borderId="5" xfId="3" applyFont="1" applyFill="1" applyBorder="1" applyAlignment="1">
      <alignment vertical="center" wrapText="1"/>
    </xf>
    <xf numFmtId="0" fontId="4" fillId="0" borderId="0" xfId="3" applyFont="1">
      <alignment vertical="center"/>
    </xf>
    <xf numFmtId="10" fontId="73" fillId="4" borderId="0" xfId="3" applyNumberFormat="1" applyFont="1" applyFill="1">
      <alignment vertical="center"/>
    </xf>
    <xf numFmtId="0" fontId="73" fillId="4" borderId="0" xfId="3" applyFont="1" applyFill="1" applyBorder="1">
      <alignment vertical="center"/>
    </xf>
    <xf numFmtId="0" fontId="74" fillId="4" borderId="0" xfId="3" applyFont="1" applyFill="1" applyAlignment="1">
      <alignment vertical="center" wrapText="1"/>
    </xf>
    <xf numFmtId="183" fontId="5" fillId="0" borderId="0" xfId="3" applyNumberFormat="1">
      <alignment vertical="center"/>
    </xf>
    <xf numFmtId="183" fontId="74" fillId="4" borderId="0" xfId="3" applyNumberFormat="1" applyFont="1" applyFill="1">
      <alignment vertical="center"/>
    </xf>
    <xf numFmtId="183" fontId="5" fillId="4" borderId="0" xfId="3" applyNumberFormat="1" applyFill="1">
      <alignment vertical="center"/>
    </xf>
    <xf numFmtId="10" fontId="4" fillId="0" borderId="0" xfId="3" applyNumberFormat="1" applyFont="1">
      <alignment vertical="center"/>
    </xf>
    <xf numFmtId="0" fontId="15" fillId="0" borderId="33" xfId="0" applyFont="1" applyFill="1" applyBorder="1" applyAlignment="1">
      <alignment horizontal="center" vertical="center" wrapText="1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9" xfId="0" applyFont="1" applyBorder="1">
      <alignment vertical="center"/>
    </xf>
    <xf numFmtId="176" fontId="0" fillId="0" borderId="14" xfId="0" applyNumberFormat="1" applyBorder="1">
      <alignment vertical="center"/>
    </xf>
    <xf numFmtId="184" fontId="44" fillId="0" borderId="0" xfId="3" applyNumberFormat="1" applyFont="1">
      <alignment vertical="center"/>
    </xf>
    <xf numFmtId="0" fontId="16" fillId="0" borderId="0" xfId="0" applyFont="1" applyBorder="1">
      <alignment vertical="center"/>
    </xf>
    <xf numFmtId="0" fontId="42" fillId="0" borderId="16" xfId="0" applyFont="1" applyBorder="1">
      <alignment vertical="center"/>
    </xf>
    <xf numFmtId="0" fontId="42" fillId="0" borderId="18" xfId="0" applyFont="1" applyBorder="1">
      <alignment vertical="center"/>
    </xf>
    <xf numFmtId="186" fontId="0" fillId="0" borderId="21" xfId="0" applyNumberFormat="1" applyBorder="1">
      <alignment vertical="center"/>
    </xf>
    <xf numFmtId="186" fontId="0" fillId="0" borderId="22" xfId="0" applyNumberFormat="1" applyBorder="1">
      <alignment vertical="center"/>
    </xf>
    <xf numFmtId="0" fontId="42" fillId="0" borderId="17" xfId="0" applyFont="1" applyBorder="1">
      <alignment vertical="center"/>
    </xf>
    <xf numFmtId="2" fontId="0" fillId="0" borderId="14" xfId="0" applyNumberFormat="1" applyBorder="1">
      <alignment vertical="center"/>
    </xf>
    <xf numFmtId="184" fontId="0" fillId="0" borderId="17" xfId="0" applyNumberFormat="1" applyBorder="1">
      <alignment vertical="center"/>
    </xf>
    <xf numFmtId="182" fontId="0" fillId="0" borderId="0" xfId="1" applyNumberFormat="1" applyFont="1">
      <alignment vertical="center"/>
    </xf>
    <xf numFmtId="184" fontId="42" fillId="0" borderId="0" xfId="0" applyNumberFormat="1" applyFont="1" applyBorder="1">
      <alignment vertical="center"/>
    </xf>
    <xf numFmtId="176" fontId="0" fillId="0" borderId="22" xfId="0" applyNumberFormat="1" applyBorder="1">
      <alignment vertical="center"/>
    </xf>
    <xf numFmtId="1" fontId="0" fillId="0" borderId="5" xfId="0" applyNumberFormat="1" applyBorder="1">
      <alignment vertical="center"/>
    </xf>
    <xf numFmtId="0" fontId="42" fillId="0" borderId="8" xfId="0" applyFont="1" applyBorder="1">
      <alignment vertical="center"/>
    </xf>
    <xf numFmtId="0" fontId="42" fillId="0" borderId="10" xfId="0" applyFont="1" applyBorder="1">
      <alignment vertical="center"/>
    </xf>
    <xf numFmtId="0" fontId="42" fillId="0" borderId="1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2" fontId="0" fillId="0" borderId="1" xfId="0" applyNumberFormat="1" applyBorder="1">
      <alignment vertical="center"/>
    </xf>
    <xf numFmtId="0" fontId="42" fillId="0" borderId="12" xfId="0" applyFont="1" applyBorder="1">
      <alignment vertical="center"/>
    </xf>
    <xf numFmtId="0" fontId="74" fillId="8" borderId="5" xfId="3" applyFont="1" applyFill="1" applyBorder="1" applyAlignment="1">
      <alignment vertical="center" wrapText="1"/>
    </xf>
    <xf numFmtId="0" fontId="73" fillId="8" borderId="5" xfId="3" applyFont="1" applyFill="1" applyBorder="1">
      <alignment vertical="center"/>
    </xf>
    <xf numFmtId="176" fontId="73" fillId="8" borderId="5" xfId="3" applyNumberFormat="1" applyFont="1" applyFill="1" applyBorder="1">
      <alignment vertical="center"/>
    </xf>
    <xf numFmtId="0" fontId="73" fillId="8" borderId="0" xfId="0" applyFont="1" applyFill="1">
      <alignment vertical="center"/>
    </xf>
    <xf numFmtId="2" fontId="5" fillId="3" borderId="0" xfId="3" applyNumberFormat="1" applyFill="1" applyBorder="1">
      <alignment vertical="center"/>
    </xf>
    <xf numFmtId="0" fontId="3" fillId="8" borderId="5" xfId="3" applyFont="1" applyFill="1" applyBorder="1" applyAlignment="1">
      <alignment vertical="center" wrapText="1"/>
    </xf>
    <xf numFmtId="183" fontId="0" fillId="0" borderId="1" xfId="0" applyNumberFormat="1" applyBorder="1">
      <alignment vertical="center"/>
    </xf>
    <xf numFmtId="183" fontId="0" fillId="0" borderId="12" xfId="0" applyNumberFormat="1" applyBorder="1">
      <alignment vertical="center"/>
    </xf>
    <xf numFmtId="0" fontId="42" fillId="3" borderId="0" xfId="0" applyFont="1" applyFill="1">
      <alignment vertical="center"/>
    </xf>
    <xf numFmtId="0" fontId="3" fillId="3" borderId="0" xfId="3" applyFont="1" applyFill="1">
      <alignment vertical="center"/>
    </xf>
    <xf numFmtId="2" fontId="0" fillId="0" borderId="9" xfId="0" applyNumberFormat="1" applyBorder="1">
      <alignment vertical="center"/>
    </xf>
    <xf numFmtId="2" fontId="0" fillId="0" borderId="11" xfId="0" applyNumberFormat="1" applyBorder="1">
      <alignment vertical="center"/>
    </xf>
    <xf numFmtId="0" fontId="2" fillId="0" borderId="0" xfId="3" applyFont="1">
      <alignment vertical="center"/>
    </xf>
    <xf numFmtId="190" fontId="0" fillId="0" borderId="0" xfId="0" applyNumberFormat="1">
      <alignment vertical="center"/>
    </xf>
    <xf numFmtId="0" fontId="42" fillId="0" borderId="11" xfId="0" applyFont="1" applyBorder="1">
      <alignment vertical="center"/>
    </xf>
    <xf numFmtId="2" fontId="8" fillId="3" borderId="0" xfId="0" applyNumberFormat="1" applyFont="1" applyFill="1" applyAlignment="1">
      <alignment horizontal="right" vertical="center" wrapText="1"/>
    </xf>
    <xf numFmtId="9" fontId="0" fillId="0" borderId="0" xfId="1" applyFont="1">
      <alignment vertical="center"/>
    </xf>
    <xf numFmtId="0" fontId="44" fillId="8" borderId="0" xfId="0" applyFont="1" applyFill="1">
      <alignment vertical="center"/>
    </xf>
    <xf numFmtId="2" fontId="0" fillId="0" borderId="21" xfId="0" applyNumberFormat="1" applyBorder="1">
      <alignment vertical="center"/>
    </xf>
    <xf numFmtId="2" fontId="0" fillId="0" borderId="22" xfId="0" applyNumberFormat="1" applyBorder="1">
      <alignment vertical="center"/>
    </xf>
    <xf numFmtId="0" fontId="10" fillId="0" borderId="0" xfId="0" applyFont="1" applyAlignment="1">
      <alignment vertical="top" wrapText="1"/>
    </xf>
    <xf numFmtId="0" fontId="46" fillId="0" borderId="26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2" fontId="75" fillId="0" borderId="12" xfId="0" applyNumberFormat="1" applyFont="1" applyBorder="1">
      <alignment vertical="center"/>
    </xf>
    <xf numFmtId="0" fontId="75" fillId="0" borderId="0" xfId="0" applyFont="1">
      <alignment vertical="center"/>
    </xf>
  </cellXfs>
  <cellStyles count="12">
    <cellStyle name="百分比" xfId="1" builtinId="5"/>
    <cellStyle name="百分比 2" xfId="4"/>
    <cellStyle name="百分比 3" xfId="11"/>
    <cellStyle name="常规" xfId="0" builtinId="0"/>
    <cellStyle name="常规 2" xfId="3"/>
    <cellStyle name="常规 3" xfId="5"/>
    <cellStyle name="常规 4" xfId="6"/>
    <cellStyle name="超链接" xfId="2" builtinId="8"/>
    <cellStyle name="超链接 2" xfId="7"/>
    <cellStyle name="超链接 3" xfId="10"/>
    <cellStyle name="千位分隔 2" xfId="8"/>
    <cellStyle name="千位分隔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不同车用燃料的全生命周期温室气体排放</a:t>
            </a:r>
            <a:r>
              <a:rPr lang="en-US" altLang="zh-CN"/>
              <a:t>(g/km)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'vehicle summary'!$E$185</c:f>
              <c:strCache>
                <c:ptCount val="1"/>
                <c:pt idx="0">
                  <c:v>原料开采/种植采收</c:v>
                </c:pt>
              </c:strCache>
            </c:strRef>
          </c:tx>
          <c:invertIfNegative val="0"/>
          <c:cat>
            <c:multiLvlStrRef>
              <c:f>'vehicle summary'!$C$186:$D$203</c:f>
              <c:multiLvlStrCache>
                <c:ptCount val="18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  <c:pt idx="15">
                    <c:v>东北电网</c:v>
                  </c:pt>
                  <c:pt idx="16">
                    <c:v>华北电网</c:v>
                  </c:pt>
                  <c:pt idx="17">
                    <c:v>南方电网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summary'!$E$186:$E$203</c:f>
              <c:numCache>
                <c:formatCode>0.0</c:formatCode>
                <c:ptCount val="18"/>
                <c:pt idx="0">
                  <c:v>22.636408885117575</c:v>
                </c:pt>
                <c:pt idx="1">
                  <c:v>20.461345248764971</c:v>
                </c:pt>
                <c:pt idx="3" formatCode="0.00">
                  <c:v>24.558388095757763</c:v>
                </c:pt>
                <c:pt idx="4" formatCode="0.00">
                  <c:v>23.442841079986692</c:v>
                </c:pt>
                <c:pt idx="5" formatCode="0.00">
                  <c:v>23.442841079986692</c:v>
                </c:pt>
                <c:pt idx="6" formatCode="0.00">
                  <c:v>23.442841079986692</c:v>
                </c:pt>
                <c:pt idx="8" formatCode="0.00">
                  <c:v>62.5776177443188</c:v>
                </c:pt>
                <c:pt idx="9" formatCode="0.00">
                  <c:v>26.88786370469969</c:v>
                </c:pt>
                <c:pt idx="11" formatCode="0.00">
                  <c:v>50.39382386585973</c:v>
                </c:pt>
                <c:pt idx="12" formatCode="0.00">
                  <c:v>22.091153926490204</c:v>
                </c:pt>
                <c:pt idx="13" formatCode="0.00">
                  <c:v>28.492511925498551</c:v>
                </c:pt>
                <c:pt idx="14" formatCode="0.00">
                  <c:v>40.072037010670336</c:v>
                </c:pt>
                <c:pt idx="15" formatCode="0.00">
                  <c:v>47.370194433908139</c:v>
                </c:pt>
                <c:pt idx="16" formatCode="0.00">
                  <c:v>49.385947388542526</c:v>
                </c:pt>
                <c:pt idx="17" formatCode="0.00">
                  <c:v>41.032956208698039</c:v>
                </c:pt>
              </c:numCache>
            </c:numRef>
          </c:val>
        </c:ser>
        <c:ser>
          <c:idx val="1"/>
          <c:order val="1"/>
          <c:tx>
            <c:strRef>
              <c:f>'vehicle summary'!$F$185</c:f>
              <c:strCache>
                <c:ptCount val="1"/>
                <c:pt idx="0">
                  <c:v>原料运输</c:v>
                </c:pt>
              </c:strCache>
            </c:strRef>
          </c:tx>
          <c:invertIfNegative val="0"/>
          <c:cat>
            <c:multiLvlStrRef>
              <c:f>'vehicle summary'!$C$186:$D$203</c:f>
              <c:multiLvlStrCache>
                <c:ptCount val="18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  <c:pt idx="15">
                    <c:v>东北电网</c:v>
                  </c:pt>
                  <c:pt idx="16">
                    <c:v>华北电网</c:v>
                  </c:pt>
                  <c:pt idx="17">
                    <c:v>南方电网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summary'!$F$186:$F$203</c:f>
              <c:numCache>
                <c:formatCode>0.0</c:formatCode>
                <c:ptCount val="18"/>
                <c:pt idx="0">
                  <c:v>3.8124091201568766</c:v>
                </c:pt>
                <c:pt idx="1">
                  <c:v>3.4460863307852803</c:v>
                </c:pt>
                <c:pt idx="3" formatCode="0.00">
                  <c:v>0.53183073249869395</c:v>
                </c:pt>
                <c:pt idx="4" formatCode="0.00">
                  <c:v>19.92857423142646</c:v>
                </c:pt>
                <c:pt idx="5" formatCode="0.00">
                  <c:v>0</c:v>
                </c:pt>
                <c:pt idx="6" formatCode="0.00">
                  <c:v>2.5378751024372432</c:v>
                </c:pt>
                <c:pt idx="8" formatCode="0.00">
                  <c:v>6.0007335996441276</c:v>
                </c:pt>
                <c:pt idx="9" formatCode="0.00">
                  <c:v>8.8883433714890945</c:v>
                </c:pt>
                <c:pt idx="11" formatCode="0.00">
                  <c:v>3.3596294775041655</c:v>
                </c:pt>
                <c:pt idx="12" formatCode="0.00">
                  <c:v>2.3915441538359841</c:v>
                </c:pt>
                <c:pt idx="13" formatCode="0.00">
                  <c:v>4.654729444324289</c:v>
                </c:pt>
                <c:pt idx="14" formatCode="0.00">
                  <c:v>2.7915891505555259</c:v>
                </c:pt>
                <c:pt idx="15" formatCode="0.00">
                  <c:v>3.1580517088539151</c:v>
                </c:pt>
                <c:pt idx="16" formatCode="0.00">
                  <c:v>3.2924368879540822</c:v>
                </c:pt>
                <c:pt idx="17" formatCode="0.00">
                  <c:v>2.7915891505555255</c:v>
                </c:pt>
              </c:numCache>
            </c:numRef>
          </c:val>
        </c:ser>
        <c:ser>
          <c:idx val="2"/>
          <c:order val="2"/>
          <c:tx>
            <c:strRef>
              <c:f>'vehicle summary'!$G$185</c:f>
              <c:strCache>
                <c:ptCount val="1"/>
                <c:pt idx="0">
                  <c:v>燃料制取</c:v>
                </c:pt>
              </c:strCache>
            </c:strRef>
          </c:tx>
          <c:invertIfNegative val="0"/>
          <c:cat>
            <c:multiLvlStrRef>
              <c:f>'vehicle summary'!$C$186:$D$203</c:f>
              <c:multiLvlStrCache>
                <c:ptCount val="18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  <c:pt idx="15">
                    <c:v>东北电网</c:v>
                  </c:pt>
                  <c:pt idx="16">
                    <c:v>华北电网</c:v>
                  </c:pt>
                  <c:pt idx="17">
                    <c:v>南方电网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summary'!$G$186:$G$203</c:f>
              <c:numCache>
                <c:formatCode>0.0</c:formatCode>
                <c:ptCount val="18"/>
                <c:pt idx="0">
                  <c:v>27.68579261330947</c:v>
                </c:pt>
                <c:pt idx="1">
                  <c:v>23.647995902817108</c:v>
                </c:pt>
                <c:pt idx="3" formatCode="0.00">
                  <c:v>19.455630969523892</c:v>
                </c:pt>
                <c:pt idx="4" formatCode="0.00">
                  <c:v>4.8268480232717632</c:v>
                </c:pt>
                <c:pt idx="5" formatCode="0.00">
                  <c:v>30.046343460702811</c:v>
                </c:pt>
                <c:pt idx="6" formatCode="0.00">
                  <c:v>30.019320655276978</c:v>
                </c:pt>
                <c:pt idx="8" formatCode="0.00">
                  <c:v>147.23229676856985</c:v>
                </c:pt>
                <c:pt idx="9" formatCode="0.00">
                  <c:v>42.294665834966906</c:v>
                </c:pt>
                <c:pt idx="11" formatCode="0.00">
                  <c:v>243.19375953424932</c:v>
                </c:pt>
                <c:pt idx="12" formatCode="0.00">
                  <c:v>133.23993424903668</c:v>
                </c:pt>
                <c:pt idx="13" formatCode="0.00">
                  <c:v>278.5554681130983</c:v>
                </c:pt>
                <c:pt idx="14" formatCode="0.00">
                  <c:v>200.74487935271276</c:v>
                </c:pt>
                <c:pt idx="15" formatCode="0.00">
                  <c:v>228.60213396219439</c:v>
                </c:pt>
                <c:pt idx="16" formatCode="0.00">
                  <c:v>238.32988434356437</c:v>
                </c:pt>
                <c:pt idx="17" formatCode="0.00">
                  <c:v>200.74487935271276</c:v>
                </c:pt>
              </c:numCache>
            </c:numRef>
          </c:val>
        </c:ser>
        <c:ser>
          <c:idx val="3"/>
          <c:order val="3"/>
          <c:tx>
            <c:strRef>
              <c:f>'vehicle summary'!$H$185</c:f>
              <c:strCache>
                <c:ptCount val="1"/>
                <c:pt idx="0">
                  <c:v>燃料输配</c:v>
                </c:pt>
              </c:strCache>
            </c:strRef>
          </c:tx>
          <c:invertIfNegative val="0"/>
          <c:cat>
            <c:multiLvlStrRef>
              <c:f>'vehicle summary'!$C$186:$D$203</c:f>
              <c:multiLvlStrCache>
                <c:ptCount val="18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  <c:pt idx="15">
                    <c:v>东北电网</c:v>
                  </c:pt>
                  <c:pt idx="16">
                    <c:v>华北电网</c:v>
                  </c:pt>
                  <c:pt idx="17">
                    <c:v>南方电网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summary'!$H$186:$H$203</c:f>
              <c:numCache>
                <c:formatCode>0.0</c:formatCode>
                <c:ptCount val="18"/>
                <c:pt idx="0">
                  <c:v>1.4571877187971158</c:v>
                </c:pt>
                <c:pt idx="1">
                  <c:v>1.3260408241053754</c:v>
                </c:pt>
                <c:pt idx="3" formatCode="0.00">
                  <c:v>0</c:v>
                </c:pt>
                <c:pt idx="4" formatCode="0.00">
                  <c:v>1.2070005788692726</c:v>
                </c:pt>
                <c:pt idx="5" formatCode="0.00">
                  <c:v>1.2070005788692726</c:v>
                </c:pt>
                <c:pt idx="6" formatCode="0.00">
                  <c:v>1.2070005788692726</c:v>
                </c:pt>
                <c:pt idx="8" formatCode="0.00">
                  <c:v>3.4006630058081502</c:v>
                </c:pt>
                <c:pt idx="9" formatCode="0.00">
                  <c:v>1.4089774021361878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</c:numCache>
            </c:numRef>
          </c:val>
        </c:ser>
        <c:ser>
          <c:idx val="4"/>
          <c:order val="4"/>
          <c:tx>
            <c:strRef>
              <c:f>'vehicle summary'!$I$185</c:f>
              <c:strCache>
                <c:ptCount val="1"/>
                <c:pt idx="0">
                  <c:v>燃料使用</c:v>
                </c:pt>
              </c:strCache>
            </c:strRef>
          </c:tx>
          <c:invertIfNegative val="0"/>
          <c:cat>
            <c:multiLvlStrRef>
              <c:f>'vehicle summary'!$C$186:$D$203</c:f>
              <c:multiLvlStrCache>
                <c:ptCount val="18"/>
                <c:lvl>
                  <c:pt idx="0">
                    <c:v>国产汽油</c:v>
                  </c:pt>
                  <c:pt idx="1">
                    <c:v>国产柴油</c:v>
                  </c:pt>
                  <c:pt idx="3">
                    <c:v>国产CNG</c:v>
                  </c:pt>
                  <c:pt idx="4">
                    <c:v>进口LNG</c:v>
                  </c:pt>
                  <c:pt idx="5">
                    <c:v>国产气田产LNG</c:v>
                  </c:pt>
                  <c:pt idx="6">
                    <c:v>管输气产LNG</c:v>
                  </c:pt>
                  <c:pt idx="8">
                    <c:v>玉米燃料乙醇</c:v>
                  </c:pt>
                  <c:pt idx="9">
                    <c:v>小桐子制取生物柴油</c:v>
                  </c:pt>
                  <c:pt idx="11">
                    <c:v>煤电分阶段</c:v>
                  </c:pt>
                  <c:pt idx="12">
                    <c:v>气电分阶段</c:v>
                  </c:pt>
                  <c:pt idx="13">
                    <c:v>油电分阶段</c:v>
                  </c:pt>
                  <c:pt idx="14">
                    <c:v>网电分阶段</c:v>
                  </c:pt>
                  <c:pt idx="15">
                    <c:v>东北电网</c:v>
                  </c:pt>
                  <c:pt idx="16">
                    <c:v>华北电网</c:v>
                  </c:pt>
                  <c:pt idx="17">
                    <c:v>南方电网</c:v>
                  </c:pt>
                </c:lvl>
                <c:lvl>
                  <c:pt idx="0">
                    <c:v>汽油车</c:v>
                  </c:pt>
                  <c:pt idx="1">
                    <c:v>柴油车</c:v>
                  </c:pt>
                  <c:pt idx="3">
                    <c:v>CNG车</c:v>
                  </c:pt>
                  <c:pt idx="4">
                    <c:v>LNG车</c:v>
                  </c:pt>
                  <c:pt idx="8">
                    <c:v>乙醇车</c:v>
                  </c:pt>
                  <c:pt idx="9">
                    <c:v>生物柴油车</c:v>
                  </c:pt>
                  <c:pt idx="11">
                    <c:v>纯电动车</c:v>
                  </c:pt>
                </c:lvl>
              </c:multiLvlStrCache>
            </c:multiLvlStrRef>
          </c:cat>
          <c:val>
            <c:numRef>
              <c:f>'vehicle summary'!$I$186:$I$203</c:f>
              <c:numCache>
                <c:formatCode>0.0</c:formatCode>
                <c:ptCount val="18"/>
                <c:pt idx="0">
                  <c:v>174.66344031104001</c:v>
                </c:pt>
                <c:pt idx="1">
                  <c:v>165.26168973971622</c:v>
                </c:pt>
                <c:pt idx="3" formatCode="0.00">
                  <c:v>148.00109507567998</c:v>
                </c:pt>
                <c:pt idx="4" formatCode="0.00">
                  <c:v>141.39246028078813</c:v>
                </c:pt>
                <c:pt idx="5" formatCode="0.00">
                  <c:v>143.15146177820142</c:v>
                </c:pt>
                <c:pt idx="6" formatCode="0.00">
                  <c:v>143.15146177820142</c:v>
                </c:pt>
                <c:pt idx="8" formatCode="0.00">
                  <c:v>0</c:v>
                </c:pt>
                <c:pt idx="9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06612992"/>
        <c:axId val="-1406618976"/>
      </c:barChart>
      <c:catAx>
        <c:axId val="-140661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406618976"/>
        <c:crosses val="autoZero"/>
        <c:auto val="1"/>
        <c:lblAlgn val="ctr"/>
        <c:lblOffset val="100"/>
        <c:noMultiLvlLbl val="0"/>
      </c:catAx>
      <c:valAx>
        <c:axId val="-140661897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14066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2730210016155E-2"/>
          <c:y val="7.1065989847716005E-2"/>
          <c:w val="0.91922455573505657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summary'!$E$115:$I$115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燃料油炼制</c:v>
                </c:pt>
                <c:pt idx="3">
                  <c:v>燃料油输配</c:v>
                </c:pt>
                <c:pt idx="4">
                  <c:v>燃料油使用</c:v>
                </c:pt>
              </c:strCache>
            </c:strRef>
          </c:cat>
          <c:val>
            <c:numRef>
              <c:f>'fuel summary'!$E$124:$I$124</c:f>
              <c:numCache>
                <c:formatCode>0.00</c:formatCode>
                <c:ptCount val="5"/>
                <c:pt idx="0">
                  <c:v>8.4115318525798521</c:v>
                </c:pt>
                <c:pt idx="1">
                  <c:v>1.3741647310160767</c:v>
                </c:pt>
                <c:pt idx="2">
                  <c:v>5.7822572134996344</c:v>
                </c:pt>
                <c:pt idx="3">
                  <c:v>0.58328572066619533</c:v>
                </c:pt>
                <c:pt idx="4">
                  <c:v>75.86933333333333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898640"/>
        <c:axId val="-1132897552"/>
      </c:barChart>
      <c:catAx>
        <c:axId val="-113289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897552"/>
        <c:crosses val="autoZero"/>
        <c:auto val="1"/>
        <c:lblAlgn val="ctr"/>
        <c:lblOffset val="100"/>
        <c:noMultiLvlLbl val="0"/>
      </c:catAx>
      <c:valAx>
        <c:axId val="-1132897552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89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35864297253616E-2"/>
          <c:y val="7.0707070707070704E-2"/>
          <c:w val="0.9095315024232633"/>
          <c:h val="0.7474747474747476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summary'!$E$127:$M$127</c:f>
              <c:strCache>
                <c:ptCount val="9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  <c:pt idx="6">
                  <c:v>东北电网</c:v>
                </c:pt>
                <c:pt idx="7">
                  <c:v>华北电网</c:v>
                </c:pt>
                <c:pt idx="8">
                  <c:v>南方电网</c:v>
                </c:pt>
              </c:strCache>
            </c:strRef>
          </c:cat>
          <c:val>
            <c:numRef>
              <c:f>'fuel summary'!$E$136:$M$136</c:f>
              <c:numCache>
                <c:formatCode>0.0</c:formatCode>
                <c:ptCount val="9"/>
                <c:pt idx="0">
                  <c:v>292.99622123707752</c:v>
                </c:pt>
                <c:pt idx="1">
                  <c:v>155.62407482542889</c:v>
                </c:pt>
                <c:pt idx="2">
                  <c:v>307.55539054510393</c:v>
                </c:pt>
                <c:pt idx="3">
                  <c:v>237.06320573794014</c:v>
                </c:pt>
                <c:pt idx="4" formatCode="0.000">
                  <c:v>0</c:v>
                </c:pt>
                <c:pt idx="5" formatCode="0.000">
                  <c:v>0</c:v>
                </c:pt>
                <c:pt idx="6">
                  <c:v>275.71644796285284</c:v>
                </c:pt>
                <c:pt idx="7">
                  <c:v>287.23629681233598</c:v>
                </c:pt>
                <c:pt idx="8">
                  <c:v>192.27254380410039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900816"/>
        <c:axId val="-1132902992"/>
      </c:barChart>
      <c:catAx>
        <c:axId val="-113290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02992"/>
        <c:crosses val="autoZero"/>
        <c:auto val="1"/>
        <c:lblAlgn val="ctr"/>
        <c:lblOffset val="100"/>
        <c:noMultiLvlLbl val="0"/>
      </c:catAx>
      <c:valAx>
        <c:axId val="-1132902992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90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22222222222424E-2"/>
          <c:y val="5.1851851851851864E-2"/>
          <c:w val="0.65925925925926065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'fuel summary'!$B$138:$D$138</c:f>
              <c:strCache>
                <c:ptCount val="3"/>
                <c:pt idx="0">
                  <c:v>燃料制备</c:v>
                </c:pt>
                <c:pt idx="2">
                  <c:v>g/MJ</c:v>
                </c:pt>
              </c:strCache>
            </c:strRef>
          </c:tx>
          <c:invertIfNegative val="0"/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summary'!$E$138:$H$138</c:f>
              <c:numCache>
                <c:formatCode>0</c:formatCode>
                <c:ptCount val="4"/>
                <c:pt idx="0">
                  <c:v>49.723315545881988</c:v>
                </c:pt>
                <c:pt idx="1">
                  <c:v>21.79722301652297</c:v>
                </c:pt>
                <c:pt idx="2">
                  <c:v>52.031931140025279</c:v>
                </c:pt>
                <c:pt idx="3">
                  <c:v>40.168851266382873</c:v>
                </c:pt>
              </c:numCache>
            </c:numRef>
          </c:val>
        </c:ser>
        <c:ser>
          <c:idx val="1"/>
          <c:order val="1"/>
          <c:tx>
            <c:strRef>
              <c:f>'fuel summary'!$B$139:$D$139</c:f>
              <c:strCache>
                <c:ptCount val="3"/>
                <c:pt idx="0">
                  <c:v>燃料运输</c:v>
                </c:pt>
                <c:pt idx="2">
                  <c:v>g/MJ</c:v>
                </c:pt>
              </c:strCache>
            </c:strRef>
          </c:tx>
          <c:invertIfNegative val="0"/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summary'!$E$139:$H$139</c:f>
              <c:numCache>
                <c:formatCode>0</c:formatCode>
                <c:ptCount val="4"/>
                <c:pt idx="0">
                  <c:v>3.3149283743946807</c:v>
                </c:pt>
                <c:pt idx="1">
                  <c:v>2.3597237812242624</c:v>
                </c:pt>
                <c:pt idx="2">
                  <c:v>1.9494843605153587</c:v>
                </c:pt>
                <c:pt idx="3">
                  <c:v>2.6641386985419016</c:v>
                </c:pt>
              </c:numCache>
            </c:numRef>
          </c:val>
        </c:ser>
        <c:ser>
          <c:idx val="2"/>
          <c:order val="2"/>
          <c:tx>
            <c:strRef>
              <c:f>'fuel summary'!$B$140:$D$140</c:f>
              <c:strCache>
                <c:ptCount val="3"/>
                <c:pt idx="0">
                  <c:v>燃料燃烧</c:v>
                </c:pt>
                <c:pt idx="2">
                  <c:v>g/MJ</c:v>
                </c:pt>
              </c:strCache>
            </c:strRef>
          </c:tx>
          <c:invertIfNegative val="0"/>
          <c:cat>
            <c:strRef>
              <c:f>'fuel summary'!$E$127:$H$127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'fuel summary'!$E$140:$H$140</c:f>
              <c:numCache>
                <c:formatCode>0</c:formatCode>
                <c:ptCount val="4"/>
                <c:pt idx="0">
                  <c:v>239.95797731680085</c:v>
                </c:pt>
                <c:pt idx="1">
                  <c:v>131.46712802768164</c:v>
                </c:pt>
                <c:pt idx="2">
                  <c:v>253.5739750445633</c:v>
                </c:pt>
                <c:pt idx="3">
                  <c:v>194.23021577301535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507424"/>
        <c:axId val="-1132505248"/>
      </c:barChart>
      <c:catAx>
        <c:axId val="-11325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505248"/>
        <c:crosses val="autoZero"/>
        <c:auto val="1"/>
        <c:lblAlgn val="ctr"/>
        <c:lblOffset val="100"/>
        <c:noMultiLvlLbl val="0"/>
      </c:catAx>
      <c:valAx>
        <c:axId val="-1132505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13250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7791387187758"/>
          <c:y val="0.35926042578011086"/>
          <c:w val="0.19444483328472881"/>
          <c:h val="0.266667444347234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68"/>
          <c:h val="0.8611987381703476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'NG-based'!$J$21:$L$21</c:f>
              <c:numCache>
                <c:formatCode>0.00_);[Red]\(0.00\)</c:formatCode>
                <c:ptCount val="3"/>
                <c:pt idx="0">
                  <c:v>9.35460521588608</c:v>
                </c:pt>
                <c:pt idx="1">
                  <c:v>1.0127108565691105</c:v>
                </c:pt>
                <c:pt idx="2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510688"/>
        <c:axId val="-1132511232"/>
      </c:barChart>
      <c:catAx>
        <c:axId val="-11325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511232"/>
        <c:crosses val="autoZero"/>
        <c:auto val="1"/>
        <c:lblAlgn val="ctr"/>
        <c:lblOffset val="100"/>
        <c:noMultiLvlLbl val="0"/>
      </c:catAx>
      <c:valAx>
        <c:axId val="-113251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251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0117130307067E-2"/>
          <c:y val="5.0505050505050456E-2"/>
          <c:w val="0.8857979502196196"/>
          <c:h val="0.8282828282828282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'NG-based'!$P$21:$T$21</c:f>
              <c:numCache>
                <c:formatCode>0.00_);[Red]\(0.00\)</c:formatCode>
                <c:ptCount val="5"/>
                <c:pt idx="0">
                  <c:v>9.3621673832693499</c:v>
                </c:pt>
                <c:pt idx="1">
                  <c:v>0.2027449162300522</c:v>
                </c:pt>
                <c:pt idx="2">
                  <c:v>7.4168904316348767</c:v>
                </c:pt>
                <c:pt idx="3">
                  <c:v>0</c:v>
                </c:pt>
                <c:pt idx="4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508512"/>
        <c:axId val="-1132506880"/>
      </c:barChart>
      <c:catAx>
        <c:axId val="-11325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506880"/>
        <c:crosses val="autoZero"/>
        <c:auto val="1"/>
        <c:lblAlgn val="ctr"/>
        <c:lblOffset val="100"/>
        <c:noMultiLvlLbl val="0"/>
      </c:catAx>
      <c:valAx>
        <c:axId val="-113250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250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36585365854091E-2"/>
          <c:y val="4.6439628482972076E-2"/>
          <c:w val="0.88109756097560743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('NG-based'!$Y$2,'NG-based'!$Z$2,'NG-based'!$AB$2,'NG-based'!$AC$2,'NG-based'!$AD$2)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('NG-based'!$Y$21,'NG-based'!$Z$21,'NG-based'!$AB$21,'NG-based'!$AC$21,'NG-based'!$AD$21)</c:f>
              <c:numCache>
                <c:formatCode>0.00_);[Red]\(0.00\)</c:formatCode>
                <c:ptCount val="5"/>
                <c:pt idx="0">
                  <c:v>9.35460521588608</c:v>
                </c:pt>
                <c:pt idx="1">
                  <c:v>7.9522760835343567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504160"/>
        <c:axId val="-1132506336"/>
      </c:barChart>
      <c:catAx>
        <c:axId val="-11325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506336"/>
        <c:crosses val="autoZero"/>
        <c:auto val="1"/>
        <c:lblAlgn val="ctr"/>
        <c:lblOffset val="100"/>
        <c:noMultiLvlLbl val="0"/>
      </c:catAx>
      <c:valAx>
        <c:axId val="-113250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250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10136157337369E-2"/>
          <c:y val="4.5592705167173293E-2"/>
          <c:w val="0.88199697428139179"/>
          <c:h val="0.8480243161094260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('NG-based'!$BA$2,'NG-based'!$BB$2,'NG-based'!$BC$2,'NG-based'!$BE$2,'NG-based'!$BF$2)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GTL生产</c:v>
                </c:pt>
                <c:pt idx="3">
                  <c:v>GTL输配阶段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('NG-based'!$BA$21,'NG-based'!$BB$21,'NG-based'!$BC$21,'NG-based'!$BE$21,'NG-based'!$BF$21)</c:f>
              <c:numCache>
                <c:formatCode>0.00_);[Red]\(0.00\)</c:formatCode>
                <c:ptCount val="5"/>
                <c:pt idx="0">
                  <c:v>12.472806954514775</c:v>
                </c:pt>
                <c:pt idx="1">
                  <c:v>9.0018742806143165E-2</c:v>
                </c:pt>
                <c:pt idx="2">
                  <c:v>128.87294603350495</c:v>
                </c:pt>
                <c:pt idx="3">
                  <c:v>0.26811884595782176</c:v>
                </c:pt>
                <c:pt idx="4">
                  <c:v>72.599999999999994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3660272"/>
        <c:axId val="-1133658640"/>
      </c:barChart>
      <c:catAx>
        <c:axId val="-113366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3658640"/>
        <c:crosses val="autoZero"/>
        <c:auto val="1"/>
        <c:lblAlgn val="ctr"/>
        <c:lblOffset val="100"/>
        <c:noMultiLvlLbl val="0"/>
      </c:catAx>
      <c:valAx>
        <c:axId val="-113365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366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22"/>
          <c:h val="0.84177215189873422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('NG-based'!$AH$2,'NG-based'!$AI$2,'NG-based'!$AK$2,'NG-based'!$AL$2)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('NG-based'!$AH$21,'NG-based'!$AI$21,'NG-based'!$AK$21,'NG-based'!$AL$21)</c:f>
              <c:numCache>
                <c:formatCode>0.00_);[Red]\(0.00\)</c:formatCode>
                <c:ptCount val="4"/>
                <c:pt idx="0">
                  <c:v>9.35460521588608</c:v>
                </c:pt>
                <c:pt idx="1">
                  <c:v>11.989659457093188</c:v>
                </c:pt>
                <c:pt idx="2">
                  <c:v>0.4816401677656395</c:v>
                </c:pt>
                <c:pt idx="3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3660816"/>
        <c:axId val="-1133664624"/>
      </c:barChart>
      <c:catAx>
        <c:axId val="-11336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3664624"/>
        <c:crosses val="autoZero"/>
        <c:auto val="1"/>
        <c:lblAlgn val="ctr"/>
        <c:lblOffset val="100"/>
        <c:noMultiLvlLbl val="0"/>
      </c:catAx>
      <c:valAx>
        <c:axId val="-113366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366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53623188405798E-2"/>
          <c:y val="4.6439628482972076E-2"/>
          <c:w val="0.88550724637681155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('NG-based'!$AQ$2,'NG-based'!$AR$2,'NG-based'!$AS$2,'NG-based'!$AU$2,'NG-based'!$AV$2)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('NG-based'!$AQ$21,'NG-based'!$AR$21,'NG-based'!$AS$21,'NG-based'!$AU$21,'NG-based'!$AV$21)</c:f>
              <c:numCache>
                <c:formatCode>0.00_);[Red]\(0.00\)</c:formatCode>
                <c:ptCount val="5"/>
                <c:pt idx="0" formatCode="0.00">
                  <c:v>9.35460521588608</c:v>
                </c:pt>
                <c:pt idx="1">
                  <c:v>1.0127108565691105</c:v>
                </c:pt>
                <c:pt idx="2">
                  <c:v>11.978876306888745</c:v>
                </c:pt>
                <c:pt idx="3" formatCode="0.00">
                  <c:v>0.4816401677656395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3659728"/>
        <c:axId val="-1133664080"/>
      </c:barChart>
      <c:catAx>
        <c:axId val="-113365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3664080"/>
        <c:crosses val="autoZero"/>
        <c:auto val="1"/>
        <c:lblAlgn val="ctr"/>
        <c:lblOffset val="100"/>
        <c:noMultiLvlLbl val="0"/>
      </c:catAx>
      <c:valAx>
        <c:axId val="-113366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365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68"/>
          <c:h val="0.8611987381703476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 (+1)'!$J$2:$L$2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 (+1)'!$J$21:$L$21</c:f>
              <c:numCache>
                <c:formatCode>0.00_);[Red]\(0.00\)</c:formatCode>
                <c:ptCount val="3"/>
                <c:pt idx="0">
                  <c:v>9.35460521588608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696672"/>
        <c:axId val="-1132698848"/>
      </c:barChart>
      <c:catAx>
        <c:axId val="-11326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698848"/>
        <c:crosses val="autoZero"/>
        <c:auto val="1"/>
        <c:lblAlgn val="ctr"/>
        <c:lblOffset val="100"/>
        <c:noMultiLvlLbl val="0"/>
      </c:catAx>
      <c:valAx>
        <c:axId val="-113269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269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82820976491923E-2"/>
          <c:y val="6.1674008810572688E-2"/>
          <c:w val="0.91139240506329111"/>
          <c:h val="0.7841409691629955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summary'!$E$9:$G$9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'fuel summary'!$E$18:$G$18</c:f>
              <c:numCache>
                <c:formatCode>0.0</c:formatCode>
                <c:ptCount val="3"/>
                <c:pt idx="0">
                  <c:v>9.35460521588608</c:v>
                </c:pt>
                <c:pt idx="1">
                  <c:v>1.0127108565691105</c:v>
                </c:pt>
                <c:pt idx="2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4277536"/>
        <c:axId val="-1134276448"/>
      </c:barChart>
      <c:catAx>
        <c:axId val="-11342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4276448"/>
        <c:crosses val="autoZero"/>
        <c:auto val="1"/>
        <c:lblAlgn val="ctr"/>
        <c:lblOffset val="100"/>
        <c:noMultiLvlLbl val="0"/>
      </c:catAx>
      <c:valAx>
        <c:axId val="-1134276448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427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0117130307067E-2"/>
          <c:y val="5.0505050505050456E-2"/>
          <c:w val="0.8857979502196196"/>
          <c:h val="0.8282828282828282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 (+1)'!$P$2:$T$2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 (+1)'!$P$21:$T$21</c:f>
              <c:numCache>
                <c:formatCode>0.00_);[Red]\(0.00\)</c:formatCode>
                <c:ptCount val="5"/>
                <c:pt idx="0">
                  <c:v>9.3621673832693499</c:v>
                </c:pt>
                <c:pt idx="1">
                  <c:v>0.2027449162300522</c:v>
                </c:pt>
                <c:pt idx="2">
                  <c:v>7.3470412948847175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692864"/>
        <c:axId val="-1132696128"/>
      </c:barChart>
      <c:catAx>
        <c:axId val="-11326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696128"/>
        <c:crosses val="autoZero"/>
        <c:auto val="1"/>
        <c:lblAlgn val="ctr"/>
        <c:lblOffset val="100"/>
        <c:noMultiLvlLbl val="0"/>
      </c:catAx>
      <c:valAx>
        <c:axId val="-113269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269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36585365854091E-2"/>
          <c:y val="4.6439628482972076E-2"/>
          <c:w val="0.88109756097560743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 (+1)'!$Y$2,'NG-based (+1)'!$Z$2,'NG-based (+1)'!$AB$2,'NG-based (+1)'!$AC$2,'NG-based (+1)'!$AD$2)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(+1)'!$Y$21,'NG-based (+1)'!$Z$21,'NG-based (+1)'!$AB$21,'NG-based (+1)'!$AC$21,'NG-based (+1)'!$AD$21)</c:f>
              <c:numCache>
                <c:formatCode>0.00_);[Red]\(0.00\)</c:formatCode>
                <c:ptCount val="5"/>
                <c:pt idx="0">
                  <c:v>9.35460521588608</c:v>
                </c:pt>
                <c:pt idx="1">
                  <c:v>11.952716528794069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697760"/>
        <c:axId val="-1132693408"/>
      </c:barChart>
      <c:catAx>
        <c:axId val="-11326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693408"/>
        <c:crosses val="autoZero"/>
        <c:auto val="1"/>
        <c:lblAlgn val="ctr"/>
        <c:lblOffset val="100"/>
        <c:noMultiLvlLbl val="0"/>
      </c:catAx>
      <c:valAx>
        <c:axId val="-113269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26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22"/>
          <c:h val="0.84177215189873422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 (+1)'!$AH$2,'NG-based (+1)'!$AI$2,'NG-based (+1)'!$AK$2,'NG-based (+1)'!$AL$2)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 (+1)'!$AH$21,'NG-based (+1)'!$AI$21,'NG-based (+1)'!$AK$21,'NG-based (+1)'!$AL$21)</c:f>
              <c:numCache>
                <c:formatCode>0.00_);[Red]\(0.00\)</c:formatCode>
                <c:ptCount val="4"/>
                <c:pt idx="0">
                  <c:v>9.35460521588608</c:v>
                </c:pt>
                <c:pt idx="1">
                  <c:v>7.9522760835343567</c:v>
                </c:pt>
                <c:pt idx="2">
                  <c:v>0.4816401677656395</c:v>
                </c:pt>
                <c:pt idx="3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695040"/>
        <c:axId val="-1132697216"/>
      </c:barChart>
      <c:catAx>
        <c:axId val="-11326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697216"/>
        <c:crosses val="autoZero"/>
        <c:auto val="1"/>
        <c:lblAlgn val="ctr"/>
        <c:lblOffset val="100"/>
        <c:noMultiLvlLbl val="0"/>
      </c:catAx>
      <c:valAx>
        <c:axId val="-11326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269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36734693877556E-2"/>
          <c:y val="4.6439628482972076E-2"/>
          <c:w val="0.88629737609329462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 (+1)'!$AQ$2,'NG-based (+1)'!$AR$2,'NG-based (+1)'!$AS$2,'NG-based (+1)'!$AU$2,'NG-based (+1)'!$AV$2)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(+1)'!$AQ$21,'NG-based (+1)'!$AR$21,'NG-based (+1)'!$AS$21,'NG-based (+1)'!$AU$21,'NG-based (+1)'!$AV$21)</c:f>
              <c:numCache>
                <c:formatCode>0.00_);[Red]\(0.00\)</c:formatCode>
                <c:ptCount val="5"/>
                <c:pt idx="0" formatCode="0.0">
                  <c:v>9.35460521588608</c:v>
                </c:pt>
                <c:pt idx="1">
                  <c:v>1.0127108565691105</c:v>
                </c:pt>
                <c:pt idx="2">
                  <c:v>7.9522760835343567</c:v>
                </c:pt>
                <c:pt idx="3" formatCode="0.0">
                  <c:v>0.4816401677656395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53136"/>
        <c:axId val="-1131638992"/>
      </c:barChart>
      <c:catAx>
        <c:axId val="-113165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38992"/>
        <c:crosses val="autoZero"/>
        <c:auto val="1"/>
        <c:lblAlgn val="ctr"/>
        <c:lblOffset val="100"/>
        <c:noMultiLvlLbl val="0"/>
      </c:catAx>
      <c:valAx>
        <c:axId val="-113163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65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6964618249542"/>
          <c:y val="4.1009463722397457E-2"/>
          <c:w val="0.85474860335195768"/>
          <c:h val="0.8611987381703476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 (+2)'!$J$2:$L$2</c:f>
              <c:strCache>
                <c:ptCount val="3"/>
                <c:pt idx="0">
                  <c:v>NG开采处理阶段</c:v>
                </c:pt>
                <c:pt idx="1">
                  <c:v>NG运输阶段</c:v>
                </c:pt>
                <c:pt idx="2">
                  <c:v>使用阶段</c:v>
                </c:pt>
              </c:strCache>
            </c:strRef>
          </c:cat>
          <c:val>
            <c:numRef>
              <c:f>'NG-based (+2)'!$J$21:$L$21</c:f>
              <c:numCache>
                <c:formatCode>0.00_);[Red]\(0.00\)</c:formatCode>
                <c:ptCount val="3"/>
                <c:pt idx="0">
                  <c:v>9.35460521588608</c:v>
                </c:pt>
                <c:pt idx="1">
                  <c:v>1.0127108565691105</c:v>
                </c:pt>
                <c:pt idx="2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50960"/>
        <c:axId val="-1131652048"/>
      </c:barChart>
      <c:catAx>
        <c:axId val="-113165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52048"/>
        <c:crosses val="autoZero"/>
        <c:auto val="1"/>
        <c:lblAlgn val="ctr"/>
        <c:lblOffset val="100"/>
        <c:noMultiLvlLbl val="0"/>
      </c:catAx>
      <c:valAx>
        <c:axId val="-113165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165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40117130307067E-2"/>
          <c:y val="5.0505050505050456E-2"/>
          <c:w val="0.8857979502196196"/>
          <c:h val="0.8282828282828282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'NG-based (+2)'!$P$2:$T$2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'NG-based (+2)'!$P$21:$T$21</c:f>
              <c:numCache>
                <c:formatCode>0.00_);[Red]\(0.00\)</c:formatCode>
                <c:ptCount val="5"/>
                <c:pt idx="0">
                  <c:v>9.3621673832693499</c:v>
                </c:pt>
                <c:pt idx="1">
                  <c:v>0.2027449162300522</c:v>
                </c:pt>
                <c:pt idx="2">
                  <c:v>7.3470412948847175</c:v>
                </c:pt>
                <c:pt idx="3">
                  <c:v>0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37904"/>
        <c:axId val="-1131639536"/>
      </c:barChart>
      <c:catAx>
        <c:axId val="-113163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39536"/>
        <c:crosses val="autoZero"/>
        <c:auto val="1"/>
        <c:lblAlgn val="ctr"/>
        <c:lblOffset val="100"/>
        <c:noMultiLvlLbl val="0"/>
      </c:catAx>
      <c:valAx>
        <c:axId val="-113163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163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36585365854091E-2"/>
          <c:y val="4.6439628482972076E-2"/>
          <c:w val="0.88109756097560743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('NG-based (+2)'!$Y$2,'NG-based (+2)'!$Z$2,'NG-based (+2)'!$AB$2,'NG-based (+2)'!$AC$2,'NG-based (+2)'!$AD$2)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(+2)'!$Y$21,'NG-based (+2)'!$Z$21,'NG-based (+2)'!$AB$21,'NG-based (+2)'!$AC$21,'NG-based (+2)'!$AD$21)</c:f>
              <c:numCache>
                <c:formatCode>0.00_);[Red]\(0.00\)</c:formatCode>
                <c:ptCount val="5"/>
                <c:pt idx="0">
                  <c:v>9.35460521588608</c:v>
                </c:pt>
                <c:pt idx="1">
                  <c:v>7.9522760835343567</c:v>
                </c:pt>
                <c:pt idx="2">
                  <c:v>0.96305003179275672</c:v>
                </c:pt>
                <c:pt idx="3">
                  <c:v>0.24082008388281975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49328"/>
        <c:axId val="-1131643888"/>
      </c:barChart>
      <c:catAx>
        <c:axId val="-11316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43888"/>
        <c:crosses val="autoZero"/>
        <c:auto val="1"/>
        <c:lblAlgn val="ctr"/>
        <c:lblOffset val="100"/>
        <c:noMultiLvlLbl val="0"/>
      </c:catAx>
      <c:valAx>
        <c:axId val="-113164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-113164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4742268041262"/>
          <c:y val="4.7468354430379764E-2"/>
          <c:w val="0.86597938144330122"/>
          <c:h val="0.84177215189873422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 (+2)'!$AH$2,'NG-based (+2)'!$AI$2,'NG-based (+2)'!$AK$2,'NG-based (+2)'!$AL$2)</c:f>
              <c:strCache>
                <c:ptCount val="4"/>
                <c:pt idx="0">
                  <c:v>NG开采处理阶段</c:v>
                </c:pt>
                <c:pt idx="1">
                  <c:v>NG液化阶段</c:v>
                </c:pt>
                <c:pt idx="2">
                  <c:v>LNG输配阶段</c:v>
                </c:pt>
                <c:pt idx="3">
                  <c:v>使用阶段</c:v>
                </c:pt>
              </c:strCache>
            </c:strRef>
          </c:cat>
          <c:val>
            <c:numRef>
              <c:f>('NG-based (+2)'!$AH$21,'NG-based (+2)'!$AI$21,'NG-based (+2)'!$AK$21,'NG-based (+2)'!$AL$21)</c:f>
              <c:numCache>
                <c:formatCode>0.00_);[Red]\(0.00\)</c:formatCode>
                <c:ptCount val="4"/>
                <c:pt idx="0">
                  <c:v>9.35460521588608</c:v>
                </c:pt>
                <c:pt idx="1">
                  <c:v>11.989659457093188</c:v>
                </c:pt>
                <c:pt idx="2">
                  <c:v>0.24082008388281975</c:v>
                </c:pt>
                <c:pt idx="3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49872"/>
        <c:axId val="-1131651504"/>
      </c:barChart>
      <c:catAx>
        <c:axId val="-11316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51504"/>
        <c:crosses val="autoZero"/>
        <c:auto val="1"/>
        <c:lblAlgn val="ctr"/>
        <c:lblOffset val="100"/>
        <c:noMultiLvlLbl val="0"/>
      </c:catAx>
      <c:valAx>
        <c:axId val="-113165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64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36734693877556E-2"/>
          <c:y val="4.6439628482972076E-2"/>
          <c:w val="0.88629737609329462"/>
          <c:h val="0.8452012383900965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('NG-based (+2)'!$AQ$2,'NG-based (+2)'!$AR$2,'NG-based (+2)'!$AS$2,'NG-based (+2)'!$AU$2,'NG-based (+2)'!$AV$2)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('NG-based (+2)'!$AQ$21,'NG-based (+2)'!$AR$21,'NG-based (+2)'!$AS$21,'NG-based (+2)'!$AU$21,'NG-based (+2)'!$AV$21)</c:f>
              <c:numCache>
                <c:formatCode>0.00_);[Red]\(0.00\)</c:formatCode>
                <c:ptCount val="5"/>
                <c:pt idx="0" formatCode="0.0">
                  <c:v>9.35460521588608</c:v>
                </c:pt>
                <c:pt idx="1">
                  <c:v>0.50635542828455526</c:v>
                </c:pt>
                <c:pt idx="2">
                  <c:v>11.978876306888745</c:v>
                </c:pt>
                <c:pt idx="3" formatCode="0.0">
                  <c:v>0.24082008388281975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48784"/>
        <c:axId val="-1131647696"/>
      </c:barChart>
      <c:catAx>
        <c:axId val="-113164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47696"/>
        <c:crosses val="autoZero"/>
        <c:auto val="1"/>
        <c:lblAlgn val="ctr"/>
        <c:lblOffset val="100"/>
        <c:noMultiLvlLbl val="0"/>
      </c:catAx>
      <c:valAx>
        <c:axId val="-113164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64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66666666672"/>
          <c:y val="5.1851851851851864E-2"/>
          <c:w val="0.85740740740740762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Coal!$F$13:$H$13</c:f>
              <c:numCache>
                <c:formatCode>0.000_);[Red]\(0.000\)</c:formatCode>
                <c:ptCount val="3"/>
                <c:pt idx="0">
                  <c:v>16.922833212885475</c:v>
                </c:pt>
                <c:pt idx="1">
                  <c:v>1.1282027229414855</c:v>
                </c:pt>
                <c:pt idx="2">
                  <c:v>81.667298000000002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641712"/>
        <c:axId val="-1131646608"/>
      </c:barChart>
      <c:catAx>
        <c:axId val="-113164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646608"/>
        <c:crosses val="autoZero"/>
        <c:auto val="1"/>
        <c:lblAlgn val="ctr"/>
        <c:lblOffset val="100"/>
        <c:noMultiLvlLbl val="0"/>
      </c:catAx>
      <c:valAx>
        <c:axId val="-113164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64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6153846153863E-2"/>
          <c:y val="5.9829059829059825E-2"/>
          <c:w val="0.92153846153846153"/>
          <c:h val="0.7863247863247866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summary'!$E$22:$I$22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NG压缩阶段</c:v>
                </c:pt>
                <c:pt idx="3">
                  <c:v>CNG运输</c:v>
                </c:pt>
                <c:pt idx="4">
                  <c:v>使用阶段</c:v>
                </c:pt>
              </c:strCache>
            </c:strRef>
          </c:cat>
          <c:val>
            <c:numRef>
              <c:f>'fuel summary'!$E$31:$I$31</c:f>
              <c:numCache>
                <c:formatCode>0.0</c:formatCode>
                <c:ptCount val="5"/>
                <c:pt idx="0">
                  <c:v>9.3621673832693499</c:v>
                </c:pt>
                <c:pt idx="1">
                  <c:v>0.2027449162300522</c:v>
                </c:pt>
                <c:pt idx="2">
                  <c:v>7.4168904316348767</c:v>
                </c:pt>
                <c:pt idx="3">
                  <c:v>0</c:v>
                </c:pt>
                <c:pt idx="4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4280256"/>
        <c:axId val="-1134275360"/>
      </c:barChart>
      <c:catAx>
        <c:axId val="-11342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4275360"/>
        <c:crosses val="autoZero"/>
        <c:auto val="1"/>
        <c:lblAlgn val="ctr"/>
        <c:lblOffset val="100"/>
        <c:noMultiLvlLbl val="0"/>
      </c:catAx>
      <c:valAx>
        <c:axId val="-113427536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428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59259259259262E-2"/>
          <c:y val="5.5350553505535083E-2"/>
          <c:w val="0.74814814814815034"/>
          <c:h val="0.81549815498154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Coal!$E$10</c:f>
              <c:strCache>
                <c:ptCount val="1"/>
                <c:pt idx="0">
                  <c:v>LCA-CO2</c:v>
                </c:pt>
              </c:strCache>
            </c:strRef>
          </c:tx>
          <c:invertIfNegative val="0"/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Coal!$F$10:$H$10</c:f>
              <c:numCache>
                <c:formatCode>General</c:formatCode>
                <c:ptCount val="3"/>
                <c:pt idx="0">
                  <c:v>6.0533287026988605</c:v>
                </c:pt>
                <c:pt idx="1">
                  <c:v>1.0975320952123442</c:v>
                </c:pt>
                <c:pt idx="2">
                  <c:v>81.641999999999996</c:v>
                </c:pt>
              </c:numCache>
            </c:numRef>
          </c:val>
        </c:ser>
        <c:ser>
          <c:idx val="1"/>
          <c:order val="1"/>
          <c:tx>
            <c:strRef>
              <c:f>Coal!$E$11</c:f>
              <c:strCache>
                <c:ptCount val="1"/>
                <c:pt idx="0">
                  <c:v>LCA-CH4</c:v>
                </c:pt>
              </c:strCache>
            </c:strRef>
          </c:tx>
          <c:invertIfNegative val="0"/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Coal!$F$11:$H$11</c:f>
              <c:numCache>
                <c:formatCode>General</c:formatCode>
                <c:ptCount val="3"/>
                <c:pt idx="0">
                  <c:v>0.43477861743910329</c:v>
                </c:pt>
                <c:pt idx="1">
                  <c:v>1.2238302104649644E-3</c:v>
                </c:pt>
                <c:pt idx="2">
                  <c:v>1E-3</c:v>
                </c:pt>
              </c:numCache>
            </c:numRef>
          </c:val>
        </c:ser>
        <c:ser>
          <c:idx val="2"/>
          <c:order val="2"/>
          <c:tx>
            <c:strRef>
              <c:f>Coal!$E$12</c:f>
              <c:strCache>
                <c:ptCount val="1"/>
                <c:pt idx="0">
                  <c:v>LCA-N2O</c:v>
                </c:pt>
              </c:strCache>
            </c:strRef>
          </c:tx>
          <c:invertIfNegative val="0"/>
          <c:cat>
            <c:strRef>
              <c:f>Coal!$F$2:$H$2</c:f>
              <c:strCache>
                <c:ptCount val="3"/>
                <c:pt idx="0">
                  <c:v>原煤开采处理</c:v>
                </c:pt>
                <c:pt idx="1">
                  <c:v>煤炭运输</c:v>
                </c:pt>
                <c:pt idx="2">
                  <c:v>煤炭使用</c:v>
                </c:pt>
              </c:strCache>
            </c:strRef>
          </c:cat>
          <c:val>
            <c:numRef>
              <c:f>Coal!$F$12:$H$12</c:f>
              <c:numCache>
                <c:formatCode>General</c:formatCode>
                <c:ptCount val="3"/>
                <c:pt idx="0">
                  <c:v>1.3112150681692555E-4</c:v>
                </c:pt>
                <c:pt idx="1">
                  <c:v>2.5124989099783849E-4</c:v>
                </c:pt>
                <c:pt idx="2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38896"/>
        <c:axId val="-1131546512"/>
      </c:barChart>
      <c:catAx>
        <c:axId val="-113153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46512"/>
        <c:crosses val="autoZero"/>
        <c:auto val="1"/>
        <c:lblAlgn val="ctr"/>
        <c:lblOffset val="100"/>
        <c:noMultiLvlLbl val="0"/>
      </c:catAx>
      <c:valAx>
        <c:axId val="-113154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3153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8192771084337"/>
          <c:y val="5.1851851851851864E-2"/>
          <c:w val="0.85370051635112243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CtL!$D$27:$H$27</c:f>
              <c:strCache>
                <c:ptCount val="5"/>
                <c:pt idx="0">
                  <c:v>原煤开采处理</c:v>
                </c:pt>
                <c:pt idx="1">
                  <c:v>煤炭运输</c:v>
                </c:pt>
                <c:pt idx="2">
                  <c:v>CTL制备</c:v>
                </c:pt>
                <c:pt idx="3">
                  <c:v>CTL输配</c:v>
                </c:pt>
                <c:pt idx="4">
                  <c:v>CTL燃烧</c:v>
                </c:pt>
              </c:strCache>
            </c:strRef>
          </c:cat>
          <c:val>
            <c:numRef>
              <c:f>CtL!$D$28:$H$28</c:f>
              <c:numCache>
                <c:formatCode>0.0</c:formatCode>
                <c:ptCount val="5"/>
                <c:pt idx="0">
                  <c:v>34.326233697536466</c:v>
                </c:pt>
                <c:pt idx="1">
                  <c:v>2.2884436570821207</c:v>
                </c:pt>
                <c:pt idx="2">
                  <c:v>91.35374847870186</c:v>
                </c:pt>
                <c:pt idx="3">
                  <c:v>0.58328572066619533</c:v>
                </c:pt>
                <c:pt idx="4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2704"/>
        <c:axId val="-1131535632"/>
      </c:barChart>
      <c:catAx>
        <c:axId val="-113154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35632"/>
        <c:crosses val="autoZero"/>
        <c:auto val="1"/>
        <c:lblAlgn val="ctr"/>
        <c:lblOffset val="100"/>
        <c:noMultiLvlLbl val="0"/>
      </c:catAx>
      <c:valAx>
        <c:axId val="-113153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54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5341074020319"/>
          <c:y val="5.1851851851851864E-2"/>
          <c:w val="0.86937590711175661"/>
          <c:h val="0.8888888888888888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'CtL(CCS)'!$D$31:$I$31</c:f>
              <c:strCache>
                <c:ptCount val="6"/>
                <c:pt idx="0">
                  <c:v>原煤开采处理</c:v>
                </c:pt>
                <c:pt idx="1">
                  <c:v>煤炭运输</c:v>
                </c:pt>
                <c:pt idx="2">
                  <c:v>CTL制备</c:v>
                </c:pt>
                <c:pt idx="3">
                  <c:v>捕获</c:v>
                </c:pt>
                <c:pt idx="4">
                  <c:v>CTL输配</c:v>
                </c:pt>
                <c:pt idx="5">
                  <c:v>CTL燃烧</c:v>
                </c:pt>
              </c:strCache>
            </c:strRef>
          </c:cat>
          <c:val>
            <c:numRef>
              <c:f>'CtL(CCS)'!$D$32:$I$32</c:f>
              <c:numCache>
                <c:formatCode>0.0</c:formatCode>
                <c:ptCount val="6"/>
                <c:pt idx="0">
                  <c:v>39.355426076477855</c:v>
                </c:pt>
                <c:pt idx="1">
                  <c:v>2.6237272626546173</c:v>
                </c:pt>
                <c:pt idx="2">
                  <c:v>115.62394883720931</c:v>
                </c:pt>
                <c:pt idx="3">
                  <c:v>-82.172190669371219</c:v>
                </c:pt>
                <c:pt idx="4">
                  <c:v>0.58328572066619533</c:v>
                </c:pt>
                <c:pt idx="5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5424"/>
        <c:axId val="-1131539440"/>
      </c:barChart>
      <c:catAx>
        <c:axId val="-113154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39440"/>
        <c:crosses val="autoZero"/>
        <c:auto val="1"/>
        <c:lblAlgn val="ctr"/>
        <c:lblOffset val="100"/>
        <c:noMultiLvlLbl val="0"/>
      </c:catAx>
      <c:valAx>
        <c:axId val="-113153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54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516864076793"/>
          <c:y val="3.6858269272090599E-2"/>
          <c:w val="0.86434782608695671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'Oil-based'!$F$2:$J$2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柴油炼制</c:v>
                </c:pt>
                <c:pt idx="3">
                  <c:v>柴油输配</c:v>
                </c:pt>
                <c:pt idx="4">
                  <c:v>柴油使用</c:v>
                </c:pt>
              </c:strCache>
            </c:strRef>
          </c:cat>
          <c:val>
            <c:numRef>
              <c:f>'Oil-based'!$F$13:$J$13</c:f>
              <c:numCache>
                <c:formatCode>0.000_);[Red]\(0.000\)</c:formatCode>
                <c:ptCount val="5"/>
                <c:pt idx="0">
                  <c:v>9.0003341467843789</c:v>
                </c:pt>
                <c:pt idx="1">
                  <c:v>1.5158303669014987</c:v>
                </c:pt>
                <c:pt idx="2">
                  <c:v>10.402046514511978</c:v>
                </c:pt>
                <c:pt idx="3">
                  <c:v>0.58328572066619533</c:v>
                </c:pt>
                <c:pt idx="4">
                  <c:v>72.693677333333312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4336"/>
        <c:axId val="-1131539984"/>
      </c:barChart>
      <c:catAx>
        <c:axId val="-113154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39984"/>
        <c:crosses val="autoZero"/>
        <c:auto val="1"/>
        <c:lblAlgn val="ctr"/>
        <c:lblOffset val="100"/>
        <c:noMultiLvlLbl val="0"/>
      </c:catAx>
      <c:valAx>
        <c:axId val="-113153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GHG (g CO2,e/MJ)</a:t>
                </a:r>
                <a:endParaRPr lang="zh-CN" altLang="zh-CN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54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0053285968028"/>
          <c:y val="5.5350553505535083E-2"/>
          <c:w val="0.86323268206039072"/>
          <c:h val="0.81549815498154976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'Oil-based'!$N$2:$R$2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汽油炼制</c:v>
                </c:pt>
                <c:pt idx="3">
                  <c:v>汽油输配</c:v>
                </c:pt>
                <c:pt idx="4">
                  <c:v>汽油使用</c:v>
                </c:pt>
              </c:strCache>
            </c:strRef>
          </c:cat>
          <c:val>
            <c:numRef>
              <c:f>'Oil-based'!$N$13:$R$13</c:f>
              <c:numCache>
                <c:formatCode>0.000_);[Red]\(0.000\)</c:formatCode>
                <c:ptCount val="5"/>
                <c:pt idx="0">
                  <c:v>9.060942457537136</c:v>
                </c:pt>
                <c:pt idx="1">
                  <c:v>1.5260379787998257</c:v>
                </c:pt>
                <c:pt idx="2">
                  <c:v>11.082118856999115</c:v>
                </c:pt>
                <c:pt idx="3">
                  <c:v>0.58328572066619533</c:v>
                </c:pt>
                <c:pt idx="4">
                  <c:v>69.914596000000003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1616"/>
        <c:axId val="-1131533456"/>
      </c:barChart>
      <c:catAx>
        <c:axId val="-113154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33456"/>
        <c:crosses val="autoZero"/>
        <c:auto val="1"/>
        <c:lblAlgn val="ctr"/>
        <c:lblOffset val="100"/>
        <c:noMultiLvlLbl val="0"/>
      </c:catAx>
      <c:valAx>
        <c:axId val="-113153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</a:t>
                </a:r>
                <a:r>
                  <a:rPr lang="en-US" altLang="zh-CN" baseline="0"/>
                  <a:t> (g CO2,e/MJ)</a:t>
                </a:r>
                <a:endParaRPr lang="zh-CN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54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0212765957446"/>
          <c:y val="5.1851851851851864E-2"/>
          <c:w val="0.8634751773049647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'Oil-based'!$V$2:$Z$2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燃料油炼制</c:v>
                </c:pt>
                <c:pt idx="3">
                  <c:v>燃料油输配</c:v>
                </c:pt>
                <c:pt idx="4">
                  <c:v>燃料油使用</c:v>
                </c:pt>
              </c:strCache>
            </c:strRef>
          </c:cat>
          <c:val>
            <c:numRef>
              <c:f>'Oil-based'!$V$13:$Z$13</c:f>
              <c:numCache>
                <c:formatCode>0.000_);[Red]\(0.000\)</c:formatCode>
                <c:ptCount val="5"/>
                <c:pt idx="0">
                  <c:v>8.4115318525798521</c:v>
                </c:pt>
                <c:pt idx="1">
                  <c:v>1.3741647310160767</c:v>
                </c:pt>
                <c:pt idx="2">
                  <c:v>5.7822572134996344</c:v>
                </c:pt>
                <c:pt idx="3">
                  <c:v>0.58328572066619533</c:v>
                </c:pt>
                <c:pt idx="4">
                  <c:v>75.86933333333333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5968"/>
        <c:axId val="-1131536176"/>
      </c:barChart>
      <c:catAx>
        <c:axId val="-113154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36176"/>
        <c:crosses val="autoZero"/>
        <c:auto val="1"/>
        <c:lblAlgn val="ctr"/>
        <c:lblOffset val="100"/>
        <c:noMultiLvlLbl val="0"/>
      </c:catAx>
      <c:valAx>
        <c:axId val="-113153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-113154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04593639575976E-2"/>
          <c:y val="5.1851851851851864E-2"/>
          <c:w val="0.90459363957597172"/>
          <c:h val="0.818518518518518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GridE!$K$23:$K$27</c:f>
              <c:strCache>
                <c:ptCount val="5"/>
                <c:pt idx="0">
                  <c:v>东北电网</c:v>
                </c:pt>
                <c:pt idx="1">
                  <c:v>华北电网</c:v>
                </c:pt>
                <c:pt idx="2">
                  <c:v>南方电网</c:v>
                </c:pt>
                <c:pt idx="4">
                  <c:v>全国平均</c:v>
                </c:pt>
              </c:strCache>
            </c:strRef>
          </c:cat>
          <c:val>
            <c:numRef>
              <c:f>GridE!$Q$23:$Q$27</c:f>
              <c:numCache>
                <c:formatCode>0</c:formatCode>
                <c:ptCount val="5"/>
                <c:pt idx="0">
                  <c:v>275.71644796285284</c:v>
                </c:pt>
                <c:pt idx="1">
                  <c:v>287.23629681233598</c:v>
                </c:pt>
                <c:pt idx="2">
                  <c:v>192.27254380410039</c:v>
                </c:pt>
                <c:pt idx="4">
                  <c:v>237.06320573794014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1547056"/>
        <c:axId val="-1131543792"/>
      </c:barChart>
      <c:catAx>
        <c:axId val="-11315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1543792"/>
        <c:crosses val="autoZero"/>
        <c:auto val="1"/>
        <c:lblAlgn val="ctr"/>
        <c:lblOffset val="100"/>
        <c:noMultiLvlLbl val="0"/>
      </c:catAx>
      <c:valAx>
        <c:axId val="-1131543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13154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7106717534095"/>
          <c:y val="4.9505006015910902E-2"/>
          <c:w val="0.69363166953528599"/>
          <c:h val="0.83168316831683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GridE!$B$16</c:f>
              <c:strCache>
                <c:ptCount val="1"/>
                <c:pt idx="0">
                  <c:v>燃料制备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(GridE!$C$16:$E$16,GridE!$I$16)</c:f>
              <c:numCache>
                <c:formatCode>0</c:formatCode>
                <c:ptCount val="4"/>
                <c:pt idx="0">
                  <c:v>49.723315545881988</c:v>
                </c:pt>
                <c:pt idx="1">
                  <c:v>21.79722301652297</c:v>
                </c:pt>
                <c:pt idx="2">
                  <c:v>52.031931140025279</c:v>
                </c:pt>
                <c:pt idx="3">
                  <c:v>40.168851266382873</c:v>
                </c:pt>
              </c:numCache>
            </c:numRef>
          </c:val>
        </c:ser>
        <c:ser>
          <c:idx val="1"/>
          <c:order val="1"/>
          <c:tx>
            <c:strRef>
              <c:f>GridE!$B$17</c:f>
              <c:strCache>
                <c:ptCount val="1"/>
                <c:pt idx="0">
                  <c:v>燃料运输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(GridE!$C$17:$E$17,GridE!$I$17)</c:f>
              <c:numCache>
                <c:formatCode>0</c:formatCode>
                <c:ptCount val="4"/>
                <c:pt idx="0">
                  <c:v>3.3149283743946807</c:v>
                </c:pt>
                <c:pt idx="1">
                  <c:v>2.3597237812242624</c:v>
                </c:pt>
                <c:pt idx="2">
                  <c:v>1.9494843605153587</c:v>
                </c:pt>
                <c:pt idx="3">
                  <c:v>2.6641386985419016</c:v>
                </c:pt>
              </c:numCache>
            </c:numRef>
          </c:val>
        </c:ser>
        <c:ser>
          <c:idx val="2"/>
          <c:order val="2"/>
          <c:tx>
            <c:strRef>
              <c:f>GridE!$B$18</c:f>
              <c:strCache>
                <c:ptCount val="1"/>
                <c:pt idx="0">
                  <c:v>燃料燃烧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(GridE!$C$4:$E$4,GridE!$I$4)</c:f>
              <c:strCache>
                <c:ptCount val="4"/>
                <c:pt idx="0">
                  <c:v>煤电</c:v>
                </c:pt>
                <c:pt idx="1">
                  <c:v>气电</c:v>
                </c:pt>
                <c:pt idx="2">
                  <c:v>油电</c:v>
                </c:pt>
                <c:pt idx="3">
                  <c:v>网电</c:v>
                </c:pt>
              </c:strCache>
            </c:strRef>
          </c:cat>
          <c:val>
            <c:numRef>
              <c:f>(GridE!$C$18:$E$18,GridE!$I$18)</c:f>
              <c:numCache>
                <c:formatCode>0</c:formatCode>
                <c:ptCount val="4"/>
                <c:pt idx="0">
                  <c:v>239.95797731680085</c:v>
                </c:pt>
                <c:pt idx="1">
                  <c:v>131.46712802768164</c:v>
                </c:pt>
                <c:pt idx="2">
                  <c:v>253.5739750445633</c:v>
                </c:pt>
                <c:pt idx="3">
                  <c:v>194.23021577301535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0086560"/>
        <c:axId val="-1130086016"/>
      </c:barChart>
      <c:catAx>
        <c:axId val="-11300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0086016"/>
        <c:crosses val="autoZero"/>
        <c:auto val="1"/>
        <c:lblAlgn val="ctr"/>
        <c:lblOffset val="100"/>
        <c:noMultiLvlLbl val="0"/>
      </c:catAx>
      <c:valAx>
        <c:axId val="-113008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  <a:endParaRPr lang="zh-CN" altLang="en-US"/>
              </a:p>
            </c:rich>
          </c:tx>
          <c:layout/>
          <c:overlay val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</c:title>
        <c:numFmt formatCode="0" sourceLinked="1"/>
        <c:majorTickMark val="out"/>
        <c:minorTickMark val="none"/>
        <c:tickLblPos val="nextTo"/>
        <c:crossAx val="-113008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05799760466869"/>
          <c:y val="0.37623866323640415"/>
          <c:w val="0.15756675075809726"/>
          <c:h val="0.2376244553589217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5187969924781"/>
          <c:y val="5.6603773584905662E-2"/>
          <c:w val="0.64511278195488719"/>
          <c:h val="0.8150943396226415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GridE!$K$38</c:f>
              <c:strCache>
                <c:ptCount val="1"/>
                <c:pt idx="0">
                  <c:v>Feedstock to Fuel</c:v>
                </c:pt>
              </c:strCache>
            </c:strRef>
          </c:tx>
          <c:invertIfNegative val="0"/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GridE!$L$38:$R$38</c:f>
              <c:numCache>
                <c:formatCode>0</c:formatCode>
                <c:ptCount val="7"/>
                <c:pt idx="0">
                  <c:v>49.723315545881988</c:v>
                </c:pt>
                <c:pt idx="1">
                  <c:v>21.79722301652297</c:v>
                </c:pt>
                <c:pt idx="2">
                  <c:v>52.031931140025279</c:v>
                </c:pt>
                <c:pt idx="3">
                  <c:v>6.056</c:v>
                </c:pt>
                <c:pt idx="4">
                  <c:v>0</c:v>
                </c:pt>
                <c:pt idx="5">
                  <c:v>0</c:v>
                </c:pt>
                <c:pt idx="6">
                  <c:v>40.168851266382873</c:v>
                </c:pt>
              </c:numCache>
            </c:numRef>
          </c:val>
        </c:ser>
        <c:ser>
          <c:idx val="4"/>
          <c:order val="1"/>
          <c:tx>
            <c:strRef>
              <c:f>GridE!$K$39</c:f>
              <c:strCache>
                <c:ptCount val="1"/>
                <c:pt idx="0">
                  <c:v>Fuel transportation</c:v>
                </c:pt>
              </c:strCache>
            </c:strRef>
          </c:tx>
          <c:invertIfNegative val="0"/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GridE!$L$39:$R$39</c:f>
              <c:numCache>
                <c:formatCode>0</c:formatCode>
                <c:ptCount val="7"/>
                <c:pt idx="0">
                  <c:v>3.3149283743946807</c:v>
                </c:pt>
                <c:pt idx="1">
                  <c:v>2.3597237812242624</c:v>
                </c:pt>
                <c:pt idx="2">
                  <c:v>1.9494843605153587</c:v>
                </c:pt>
                <c:pt idx="3">
                  <c:v>0</c:v>
                </c:pt>
                <c:pt idx="4">
                  <c:v>5.8460000000000001</c:v>
                </c:pt>
                <c:pt idx="5">
                  <c:v>0</c:v>
                </c:pt>
                <c:pt idx="6">
                  <c:v>2.6641386985419016</c:v>
                </c:pt>
              </c:numCache>
            </c:numRef>
          </c:val>
        </c:ser>
        <c:ser>
          <c:idx val="5"/>
          <c:order val="2"/>
          <c:tx>
            <c:strRef>
              <c:f>GridE!$K$40</c:f>
              <c:strCache>
                <c:ptCount val="1"/>
                <c:pt idx="0">
                  <c:v>Power generation</c:v>
                </c:pt>
              </c:strCache>
            </c:strRef>
          </c:tx>
          <c:invertIfNegative val="0"/>
          <c:cat>
            <c:strRef>
              <c:f>GridE!$L$36:$R$36</c:f>
              <c:strCache>
                <c:ptCount val="7"/>
                <c:pt idx="0">
                  <c:v>Coal</c:v>
                </c:pt>
                <c:pt idx="1">
                  <c:v>NG</c:v>
                </c:pt>
                <c:pt idx="2">
                  <c:v>Oil</c:v>
                </c:pt>
                <c:pt idx="3">
                  <c:v>Nuclear</c:v>
                </c:pt>
                <c:pt idx="4">
                  <c:v>Biomass</c:v>
                </c:pt>
                <c:pt idx="5">
                  <c:v>Others</c:v>
                </c:pt>
                <c:pt idx="6">
                  <c:v>Mixed</c:v>
                </c:pt>
              </c:strCache>
            </c:strRef>
          </c:cat>
          <c:val>
            <c:numRef>
              <c:f>GridE!$L$40:$R$40</c:f>
              <c:numCache>
                <c:formatCode>0</c:formatCode>
                <c:ptCount val="7"/>
                <c:pt idx="0">
                  <c:v>239.95797731680085</c:v>
                </c:pt>
                <c:pt idx="1">
                  <c:v>131.46712802768164</c:v>
                </c:pt>
                <c:pt idx="2">
                  <c:v>253.5739750445633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194.23021577301535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0092000"/>
        <c:axId val="-1130084384"/>
      </c:barChart>
      <c:catAx>
        <c:axId val="-11300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0084384"/>
        <c:crosses val="autoZero"/>
        <c:auto val="1"/>
        <c:lblAlgn val="ctr"/>
        <c:lblOffset val="100"/>
        <c:noMultiLvlLbl val="0"/>
      </c:catAx>
      <c:valAx>
        <c:axId val="-113008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GHG (g CO2,e/MJ)</a:t>
                </a:r>
                <a:endParaRPr lang="zh-CN" altLang="en-US"/>
              </a:p>
            </c:rich>
          </c:tx>
          <c:layout/>
          <c:overlay val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</c:title>
        <c:numFmt formatCode="0" sourceLinked="1"/>
        <c:majorTickMark val="out"/>
        <c:minorTickMark val="none"/>
        <c:tickLblPos val="nextTo"/>
        <c:crossAx val="-113009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45864661654163"/>
          <c:y val="0.36226494329718334"/>
          <c:w val="0.19097744360902291"/>
          <c:h val="0.271698509384442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WTW GHG of Truck ( g CO2,e/MJ)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'LNG商用车结果 '!$B$2:$B$3</c:f>
              <c:strCache>
                <c:ptCount val="2"/>
                <c:pt idx="0">
                  <c:v>WTW GHG</c:v>
                </c:pt>
                <c:pt idx="1">
                  <c:v>g CO2,e/MJ</c:v>
                </c:pt>
              </c:strCache>
            </c:strRef>
          </c:tx>
          <c:invertIfNegative val="0"/>
          <c:cat>
            <c:strRef>
              <c:f>'LNG商用车结果 '!$A$4:$A$7</c:f>
              <c:strCache>
                <c:ptCount val="4"/>
                <c:pt idx="0">
                  <c:v>LNG车(海外进口)</c:v>
                </c:pt>
                <c:pt idx="1">
                  <c:v>LNG车(井口液化)</c:v>
                </c:pt>
                <c:pt idx="2">
                  <c:v>LNG车(管道气液化)</c:v>
                </c:pt>
                <c:pt idx="3">
                  <c:v>柴油车</c:v>
                </c:pt>
              </c:strCache>
            </c:strRef>
          </c:cat>
          <c:val>
            <c:numRef>
              <c:f>'LNG商用车结果 '!$B$4:$B$7</c:f>
              <c:numCache>
                <c:formatCode>0.00</c:formatCode>
                <c:ptCount val="4"/>
                <c:pt idx="0">
                  <c:v>76.135711530771573</c:v>
                </c:pt>
                <c:pt idx="1">
                  <c:v>78.948904840744902</c:v>
                </c:pt>
                <c:pt idx="2">
                  <c:v>79.95083254710957</c:v>
                </c:pt>
                <c:pt idx="3">
                  <c:v>94.195174082197369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93632"/>
        <c:axId val="-1130083840"/>
      </c:barChart>
      <c:catAx>
        <c:axId val="-113009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0083840"/>
        <c:crosses val="autoZero"/>
        <c:auto val="1"/>
        <c:lblAlgn val="ctr"/>
        <c:lblOffset val="100"/>
        <c:noMultiLvlLbl val="0"/>
      </c:catAx>
      <c:valAx>
        <c:axId val="-1130083840"/>
        <c:scaling>
          <c:orientation val="minMax"/>
          <c:min val="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009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进口</a:t>
            </a:r>
            <a:r>
              <a:rPr lang="en-US" altLang="zh-CN"/>
              <a:t>LNG</a:t>
            </a:r>
            <a:r>
              <a:rPr lang="zh-CN" altLang="en-US"/>
              <a:t>碳足迹分析</a:t>
            </a:r>
            <a:r>
              <a:rPr lang="en-US" altLang="zh-CN"/>
              <a:t>(gCO2,e/</a:t>
            </a:r>
            <a:r>
              <a:rPr lang="en-US" altLang="zh-CN" baseline="0"/>
              <a:t> MJ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92730210016155E-2"/>
          <c:y val="0.26530612244897961"/>
          <c:w val="0.91922455573505657"/>
          <c:h val="0.5510204081632652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summary'!$E$35:$I$35</c:f>
              <c:strCache>
                <c:ptCount val="5"/>
                <c:pt idx="0">
                  <c:v>NG开采处理阶段</c:v>
                </c:pt>
                <c:pt idx="1">
                  <c:v>NG液化阶段</c:v>
                </c:pt>
                <c:pt idx="2">
                  <c:v>LNG运输阶段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summary'!$E$44:$I$44</c:f>
              <c:numCache>
                <c:formatCode>0.0</c:formatCode>
                <c:ptCount val="5"/>
                <c:pt idx="0">
                  <c:v>9.35460521588608</c:v>
                </c:pt>
                <c:pt idx="1">
                  <c:v>7.9522760835343567</c:v>
                </c:pt>
                <c:pt idx="2">
                  <c:v>1.9261000635855134</c:v>
                </c:pt>
                <c:pt idx="3">
                  <c:v>0.4816401677656395</c:v>
                </c:pt>
                <c:pt idx="4">
                  <c:v>56.421089999999992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4278624"/>
        <c:axId val="-1134281888"/>
      </c:barChart>
      <c:catAx>
        <c:axId val="-11342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4281888"/>
        <c:crosses val="autoZero"/>
        <c:auto val="1"/>
        <c:lblAlgn val="ctr"/>
        <c:lblOffset val="100"/>
        <c:noMultiLvlLbl val="0"/>
      </c:catAx>
      <c:valAx>
        <c:axId val="-1134281888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427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船用</a:t>
            </a:r>
            <a:r>
              <a:rPr lang="en-US" altLang="zh-CN" sz="1600"/>
              <a:t>LNG</a:t>
            </a:r>
            <a:r>
              <a:rPr lang="zh-CN" altLang="en-US" sz="1600"/>
              <a:t>相对船用柴油相对减碳比例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LNG船用结果!$E$2:$E$3</c:f>
              <c:strCache>
                <c:ptCount val="2"/>
                <c:pt idx="0">
                  <c:v>减碳比例</c:v>
                </c:pt>
              </c:strCache>
            </c:strRef>
          </c:tx>
          <c:invertIfNegative val="0"/>
          <c:cat>
            <c:strRef>
              <c:f>LNG船用结果!$A$4:$A$6</c:f>
              <c:strCache>
                <c:ptCount val="3"/>
                <c:pt idx="0">
                  <c:v>LNG船（海外进口）</c:v>
                </c:pt>
                <c:pt idx="1">
                  <c:v>LNG船（进口液化）</c:v>
                </c:pt>
                <c:pt idx="2">
                  <c:v>LNG船（管道气液化）</c:v>
                </c:pt>
              </c:strCache>
            </c:strRef>
          </c:cat>
          <c:val>
            <c:numRef>
              <c:f>LNG船用结果!$E$4:$E$6</c:f>
              <c:numCache>
                <c:formatCode>0.0%</c:formatCode>
                <c:ptCount val="3"/>
                <c:pt idx="0">
                  <c:v>0.11089624813722698</c:v>
                </c:pt>
                <c:pt idx="1">
                  <c:v>7.8044112440016966E-2</c:v>
                </c:pt>
                <c:pt idx="2">
                  <c:v>6.634372027301072E-2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82208"/>
        <c:axId val="-1130087104"/>
      </c:barChart>
      <c:catAx>
        <c:axId val="-11300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0087104"/>
        <c:crosses val="autoZero"/>
        <c:auto val="1"/>
        <c:lblAlgn val="ctr"/>
        <c:lblOffset val="100"/>
        <c:noMultiLvlLbl val="0"/>
      </c:catAx>
      <c:valAx>
        <c:axId val="-11300871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13008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'WTP&amp;WTW (for chart)'!$AF$1:$AF$2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cat>
            <c:strRef>
              <c:f>'WTP&amp;WTW (for chart)'!$A$3:$A$71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 (for chart)'!$AF$3:$AF$71</c:f>
              <c:numCache>
                <c:formatCode>0.00_);[Red]\(0.00\)</c:formatCode>
                <c:ptCount val="69"/>
                <c:pt idx="0">
                  <c:v>3.2156682733811834</c:v>
                </c:pt>
                <c:pt idx="1">
                  <c:v>3.0950807131293891</c:v>
                </c:pt>
                <c:pt idx="2">
                  <c:v>3.2960599802157127</c:v>
                </c:pt>
                <c:pt idx="3">
                  <c:v>2.2911636447840933</c:v>
                </c:pt>
                <c:pt idx="4">
                  <c:v>2.3715553516186225</c:v>
                </c:pt>
                <c:pt idx="5">
                  <c:v>1.8088134037769157</c:v>
                </c:pt>
                <c:pt idx="6">
                  <c:v>2.9056661351766362</c:v>
                </c:pt>
                <c:pt idx="7">
                  <c:v>3.1912734652460677</c:v>
                </c:pt>
                <c:pt idx="9">
                  <c:v>3.2004182665971324</c:v>
                </c:pt>
                <c:pt idx="10">
                  <c:v>3.2433822205019567</c:v>
                </c:pt>
                <c:pt idx="11">
                  <c:v>3.1949738200975157</c:v>
                </c:pt>
                <c:pt idx="12">
                  <c:v>3.2331423800253454</c:v>
                </c:pt>
                <c:pt idx="13">
                  <c:v>4.8909949918127262</c:v>
                </c:pt>
                <c:pt idx="15">
                  <c:v>5.2369749529880938</c:v>
                </c:pt>
                <c:pt idx="16">
                  <c:v>5.3935453474676089</c:v>
                </c:pt>
                <c:pt idx="17">
                  <c:v>6.1493342423119319</c:v>
                </c:pt>
                <c:pt idx="18">
                  <c:v>6.1779816513761476</c:v>
                </c:pt>
                <c:pt idx="20">
                  <c:v>6.6611947702313152</c:v>
                </c:pt>
                <c:pt idx="21">
                  <c:v>6.5416000000000007</c:v>
                </c:pt>
                <c:pt idx="22">
                  <c:v>7.5801701280237612</c:v>
                </c:pt>
                <c:pt idx="23">
                  <c:v>6.8879663056558371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2.2230864604130001</c:v>
                </c:pt>
                <c:pt idx="33">
                  <c:v>0.49371606161681997</c:v>
                </c:pt>
                <c:pt idx="34">
                  <c:v>0.13279448000000002</c:v>
                </c:pt>
                <c:pt idx="36">
                  <c:v>2.6009834170840636</c:v>
                </c:pt>
                <c:pt idx="37">
                  <c:v>1.7937816669545263</c:v>
                </c:pt>
                <c:pt idx="38">
                  <c:v>2.050036190805173</c:v>
                </c:pt>
                <c:pt idx="39">
                  <c:v>2.882863393319774</c:v>
                </c:pt>
                <c:pt idx="41">
                  <c:v>3.2516774197888685</c:v>
                </c:pt>
                <c:pt idx="42">
                  <c:v>4.1840578279865541</c:v>
                </c:pt>
                <c:pt idx="43">
                  <c:v>2.6814410377091997</c:v>
                </c:pt>
                <c:pt idx="44">
                  <c:v>6.4303448275862068E-2</c:v>
                </c:pt>
                <c:pt idx="45">
                  <c:v>0</c:v>
                </c:pt>
                <c:pt idx="46">
                  <c:v>7.7572413793103451E-2</c:v>
                </c:pt>
                <c:pt idx="48">
                  <c:v>3.6412819192384651</c:v>
                </c:pt>
                <c:pt idx="50">
                  <c:v>3.0890935487994247</c:v>
                </c:pt>
                <c:pt idx="51">
                  <c:v>3.1866438713930911</c:v>
                </c:pt>
                <c:pt idx="52">
                  <c:v>2.5037916132374285</c:v>
                </c:pt>
                <c:pt idx="53">
                  <c:v>2.4062412906437629</c:v>
                </c:pt>
                <c:pt idx="54">
                  <c:v>2.8646913018279974</c:v>
                </c:pt>
                <c:pt idx="55">
                  <c:v>2.1168054952765578</c:v>
                </c:pt>
                <c:pt idx="57">
                  <c:v>2.0544441996884131</c:v>
                </c:pt>
                <c:pt idx="58">
                  <c:v>2.7551139922752528</c:v>
                </c:pt>
                <c:pt idx="59">
                  <c:v>4.2625500935992573</c:v>
                </c:pt>
                <c:pt idx="60">
                  <c:v>0.32478515205792724</c:v>
                </c:pt>
                <c:pt idx="61">
                  <c:v>0.30952119741560674</c:v>
                </c:pt>
                <c:pt idx="62">
                  <c:v>2.9217957622257926</c:v>
                </c:pt>
                <c:pt idx="64">
                  <c:v>3.3580645798694748</c:v>
                </c:pt>
                <c:pt idx="65">
                  <c:v>4.0587343724563087</c:v>
                </c:pt>
                <c:pt idx="66">
                  <c:v>5.5661704737803133</c:v>
                </c:pt>
                <c:pt idx="67">
                  <c:v>1.6284055322389834</c:v>
                </c:pt>
                <c:pt idx="68">
                  <c:v>1.6131415775966629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91456"/>
        <c:axId val="-1130087648"/>
      </c:barChart>
      <c:catAx>
        <c:axId val="-113009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0087648"/>
        <c:crosses val="autoZero"/>
        <c:auto val="1"/>
        <c:lblAlgn val="ctr"/>
        <c:lblOffset val="100"/>
        <c:noMultiLvlLbl val="0"/>
      </c:catAx>
      <c:valAx>
        <c:axId val="-1130087648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-11300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'WTP&amp;WTW (for chart)'!$AI$1:$AI$2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cat>
            <c:strRef>
              <c:f>'WTP&amp;WTW (for chart)'!$A$3:$A$71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 (for chart)'!$AI$3:$AI$71</c:f>
              <c:numCache>
                <c:formatCode>0.00_ </c:formatCode>
                <c:ptCount val="69"/>
                <c:pt idx="0">
                  <c:v>231.89212423122973</c:v>
                </c:pt>
                <c:pt idx="1">
                  <c:v>223.1961695725586</c:v>
                </c:pt>
                <c:pt idx="2">
                  <c:v>237.68942733701047</c:v>
                </c:pt>
                <c:pt idx="3">
                  <c:v>165.22313851475118</c:v>
                </c:pt>
                <c:pt idx="4">
                  <c:v>171.02044162053193</c:v>
                </c:pt>
                <c:pt idx="5">
                  <c:v>130.43931988006673</c:v>
                </c:pt>
                <c:pt idx="6">
                  <c:v>215.66550277163583</c:v>
                </c:pt>
                <c:pt idx="7">
                  <c:v>227.69800000000001</c:v>
                </c:pt>
                <c:pt idx="9">
                  <c:v>193.91576201711052</c:v>
                </c:pt>
                <c:pt idx="10">
                  <c:v>192.15410611989452</c:v>
                </c:pt>
                <c:pt idx="11">
                  <c:v>199.25414675722294</c:v>
                </c:pt>
                <c:pt idx="12">
                  <c:v>201.78284871511357</c:v>
                </c:pt>
                <c:pt idx="13">
                  <c:v>490.66161570898089</c:v>
                </c:pt>
                <c:pt idx="15">
                  <c:v>610.42389531027345</c:v>
                </c:pt>
                <c:pt idx="16">
                  <c:v>628.25526400000001</c:v>
                </c:pt>
                <c:pt idx="17">
                  <c:v>464.44116470554576</c:v>
                </c:pt>
                <c:pt idx="18">
                  <c:v>664.20135600000015</c:v>
                </c:pt>
                <c:pt idx="20">
                  <c:v>403.50054096780781</c:v>
                </c:pt>
                <c:pt idx="21">
                  <c:v>446.0062880000001</c:v>
                </c:pt>
                <c:pt idx="22">
                  <c:v>344.1533734045081</c:v>
                </c:pt>
                <c:pt idx="23">
                  <c:v>575.36642800000004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394.87628388848401</c:v>
                </c:pt>
                <c:pt idx="33">
                  <c:v>40.535911534159609</c:v>
                </c:pt>
                <c:pt idx="34">
                  <c:v>16.57641439999999</c:v>
                </c:pt>
                <c:pt idx="36">
                  <c:v>230.1040297570008</c:v>
                </c:pt>
                <c:pt idx="37">
                  <c:v>158.69243431517296</c:v>
                </c:pt>
                <c:pt idx="38">
                  <c:v>181.36278207448336</c:v>
                </c:pt>
                <c:pt idx="39">
                  <c:v>255.04141229224223</c:v>
                </c:pt>
                <c:pt idx="41">
                  <c:v>295.54890121784319</c:v>
                </c:pt>
                <c:pt idx="42">
                  <c:v>317.08247496876356</c:v>
                </c:pt>
                <c:pt idx="43">
                  <c:v>159.69094623594196</c:v>
                </c:pt>
                <c:pt idx="44">
                  <c:v>6.63448275862069</c:v>
                </c:pt>
                <c:pt idx="45">
                  <c:v>5.1034482758620694</c:v>
                </c:pt>
                <c:pt idx="46">
                  <c:v>5.92</c:v>
                </c:pt>
                <c:pt idx="48">
                  <c:v>96.054249391544602</c:v>
                </c:pt>
                <c:pt idx="50">
                  <c:v>280.97559408798554</c:v>
                </c:pt>
                <c:pt idx="51">
                  <c:v>289.68895767624497</c:v>
                </c:pt>
                <c:pt idx="52">
                  <c:v>228.69541255842893</c:v>
                </c:pt>
                <c:pt idx="53">
                  <c:v>220.03308345292814</c:v>
                </c:pt>
                <c:pt idx="54">
                  <c:v>260.7719985889434</c:v>
                </c:pt>
                <c:pt idx="55">
                  <c:v>193.96954441228772</c:v>
                </c:pt>
                <c:pt idx="57">
                  <c:v>139.11407404419904</c:v>
                </c:pt>
                <c:pt idx="58">
                  <c:v>249.0260850744389</c:v>
                </c:pt>
                <c:pt idx="59">
                  <c:v>434.12971702514494</c:v>
                </c:pt>
                <c:pt idx="60">
                  <c:v>31.604884061621664</c:v>
                </c:pt>
                <c:pt idx="61">
                  <c:v>27.101173250639608</c:v>
                </c:pt>
                <c:pt idx="62">
                  <c:v>94.248399772409769</c:v>
                </c:pt>
                <c:pt idx="64">
                  <c:v>271.68499379343655</c:v>
                </c:pt>
                <c:pt idx="65">
                  <c:v>381.5970048236764</c:v>
                </c:pt>
                <c:pt idx="66">
                  <c:v>566.70063677438236</c:v>
                </c:pt>
                <c:pt idx="67">
                  <c:v>164.17580381085918</c:v>
                </c:pt>
                <c:pt idx="68">
                  <c:v>159.67209299987712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81120"/>
        <c:axId val="-1130080576"/>
      </c:barChart>
      <c:catAx>
        <c:axId val="-113008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0080576"/>
        <c:crosses val="autoZero"/>
        <c:auto val="1"/>
        <c:lblAlgn val="ctr"/>
        <c:lblOffset val="100"/>
        <c:noMultiLvlLbl val="0"/>
      </c:catAx>
      <c:valAx>
        <c:axId val="-1130080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-113008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'WTP&amp;WTW (for chart)'!$AF$1:$AF$2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cat>
            <c:strRef>
              <c:f>'WTP&amp;WTW (for chart)'!$A$3:$A$71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 (for chart)'!$AF$3:$AF$71</c:f>
              <c:numCache>
                <c:formatCode>0.00_);[Red]\(0.00\)</c:formatCode>
                <c:ptCount val="69"/>
                <c:pt idx="0">
                  <c:v>3.2156682733811834</c:v>
                </c:pt>
                <c:pt idx="1">
                  <c:v>3.0950807131293891</c:v>
                </c:pt>
                <c:pt idx="2">
                  <c:v>3.2960599802157127</c:v>
                </c:pt>
                <c:pt idx="3">
                  <c:v>2.2911636447840933</c:v>
                </c:pt>
                <c:pt idx="4">
                  <c:v>2.3715553516186225</c:v>
                </c:pt>
                <c:pt idx="5">
                  <c:v>1.8088134037769157</c:v>
                </c:pt>
                <c:pt idx="6">
                  <c:v>2.9056661351766362</c:v>
                </c:pt>
                <c:pt idx="7">
                  <c:v>3.1912734652460677</c:v>
                </c:pt>
                <c:pt idx="9">
                  <c:v>3.2004182665971324</c:v>
                </c:pt>
                <c:pt idx="10">
                  <c:v>3.2433822205019567</c:v>
                </c:pt>
                <c:pt idx="11">
                  <c:v>3.1949738200975157</c:v>
                </c:pt>
                <c:pt idx="12">
                  <c:v>3.2331423800253454</c:v>
                </c:pt>
                <c:pt idx="13">
                  <c:v>4.8909949918127262</c:v>
                </c:pt>
                <c:pt idx="15">
                  <c:v>5.2369749529880938</c:v>
                </c:pt>
                <c:pt idx="16">
                  <c:v>5.3935453474676089</c:v>
                </c:pt>
                <c:pt idx="17">
                  <c:v>6.1493342423119319</c:v>
                </c:pt>
                <c:pt idx="18">
                  <c:v>6.1779816513761476</c:v>
                </c:pt>
                <c:pt idx="20">
                  <c:v>6.6611947702313152</c:v>
                </c:pt>
                <c:pt idx="21">
                  <c:v>6.5416000000000007</c:v>
                </c:pt>
                <c:pt idx="22">
                  <c:v>7.5801701280237612</c:v>
                </c:pt>
                <c:pt idx="23">
                  <c:v>6.8879663056558371</c:v>
                </c:pt>
                <c:pt idx="26">
                  <c:v>3.6028522662793607</c:v>
                </c:pt>
                <c:pt idx="27">
                  <c:v>2.0493189258262987</c:v>
                </c:pt>
                <c:pt idx="28">
                  <c:v>1.7000554650387762</c:v>
                </c:pt>
                <c:pt idx="29">
                  <c:v>0.93428531949103355</c:v>
                </c:pt>
                <c:pt idx="30">
                  <c:v>0.5173083858561639</c:v>
                </c:pt>
                <c:pt idx="32">
                  <c:v>2.2230864604130001</c:v>
                </c:pt>
                <c:pt idx="33">
                  <c:v>0.49371606161681997</c:v>
                </c:pt>
                <c:pt idx="34">
                  <c:v>0.13279448000000002</c:v>
                </c:pt>
                <c:pt idx="36">
                  <c:v>2.6009834170840636</c:v>
                </c:pt>
                <c:pt idx="37">
                  <c:v>1.7937816669545263</c:v>
                </c:pt>
                <c:pt idx="38">
                  <c:v>2.050036190805173</c:v>
                </c:pt>
                <c:pt idx="39">
                  <c:v>2.882863393319774</c:v>
                </c:pt>
                <c:pt idx="41">
                  <c:v>3.2516774197888685</c:v>
                </c:pt>
                <c:pt idx="42">
                  <c:v>4.1840578279865541</c:v>
                </c:pt>
                <c:pt idx="43">
                  <c:v>2.6814410377091997</c:v>
                </c:pt>
                <c:pt idx="44">
                  <c:v>6.4303448275862068E-2</c:v>
                </c:pt>
                <c:pt idx="45">
                  <c:v>0</c:v>
                </c:pt>
                <c:pt idx="46">
                  <c:v>7.7572413793103451E-2</c:v>
                </c:pt>
                <c:pt idx="48">
                  <c:v>3.6412819192384651</c:v>
                </c:pt>
                <c:pt idx="50">
                  <c:v>3.0890935487994247</c:v>
                </c:pt>
                <c:pt idx="51">
                  <c:v>3.1866438713930911</c:v>
                </c:pt>
                <c:pt idx="52">
                  <c:v>2.5037916132374285</c:v>
                </c:pt>
                <c:pt idx="53">
                  <c:v>2.4062412906437629</c:v>
                </c:pt>
                <c:pt idx="54">
                  <c:v>2.8646913018279974</c:v>
                </c:pt>
                <c:pt idx="55">
                  <c:v>2.1168054952765578</c:v>
                </c:pt>
                <c:pt idx="57">
                  <c:v>2.0544441996884131</c:v>
                </c:pt>
                <c:pt idx="58">
                  <c:v>2.7551139922752528</c:v>
                </c:pt>
                <c:pt idx="59">
                  <c:v>4.2625500935992573</c:v>
                </c:pt>
                <c:pt idx="60">
                  <c:v>0.32478515205792724</c:v>
                </c:pt>
                <c:pt idx="61">
                  <c:v>0.30952119741560674</c:v>
                </c:pt>
                <c:pt idx="62">
                  <c:v>2.9217957622257926</c:v>
                </c:pt>
                <c:pt idx="64">
                  <c:v>3.3580645798694748</c:v>
                </c:pt>
                <c:pt idx="65">
                  <c:v>4.0587343724563087</c:v>
                </c:pt>
                <c:pt idx="66">
                  <c:v>5.5661704737803133</c:v>
                </c:pt>
                <c:pt idx="67">
                  <c:v>1.6284055322389834</c:v>
                </c:pt>
                <c:pt idx="68">
                  <c:v>1.6131415775966629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93088"/>
        <c:axId val="-1130092544"/>
      </c:barChart>
      <c:catAx>
        <c:axId val="-11300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0092544"/>
        <c:crosses val="autoZero"/>
        <c:auto val="1"/>
        <c:lblAlgn val="ctr"/>
        <c:lblOffset val="100"/>
        <c:noMultiLvlLbl val="0"/>
      </c:catAx>
      <c:valAx>
        <c:axId val="-113009254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-113009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'WTP&amp;WTW (for chart)'!$AI$1:$AI$2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cat>
            <c:strRef>
              <c:f>'WTP&amp;WTW (for chart)'!$A$3:$A$71</c:f>
              <c:strCache>
                <c:ptCount val="69"/>
                <c:pt idx="0">
                  <c:v>SI ICE-Gasoline (8L/100km)</c:v>
                </c:pt>
                <c:pt idx="1">
                  <c:v>SI ICE-Gasoline (7.7L/100km)</c:v>
                </c:pt>
                <c:pt idx="2">
                  <c:v>SI ICE-Gasoline (8.2L/100km)</c:v>
                </c:pt>
                <c:pt idx="3">
                  <c:v>SI ICE-Gasoline (5.7L/100km)</c:v>
                </c:pt>
                <c:pt idx="4">
                  <c:v>SI ICE-Gasoline (5.9L/100km)</c:v>
                </c:pt>
                <c:pt idx="5">
                  <c:v>SI ICE-Gasoline (4.5L/100km)</c:v>
                </c:pt>
                <c:pt idx="6">
                  <c:v>CI ICE-Diesel</c:v>
                </c:pt>
                <c:pt idx="7">
                  <c:v>SI ICE-LPG</c:v>
                </c:pt>
                <c:pt idx="9">
                  <c:v>SI ICE-CNG</c:v>
                </c:pt>
                <c:pt idx="10">
                  <c:v>SI ICE-LNG1</c:v>
                </c:pt>
                <c:pt idx="11">
                  <c:v>SI ICE-LNG2</c:v>
                </c:pt>
                <c:pt idx="12">
                  <c:v>SI ICE-LNG3</c:v>
                </c:pt>
                <c:pt idx="13">
                  <c:v>CI ICE-GTL</c:v>
                </c:pt>
                <c:pt idx="15">
                  <c:v>SI ICE-Methanol from coal</c:v>
                </c:pt>
                <c:pt idx="16">
                  <c:v>SI ICE-DME from coal</c:v>
                </c:pt>
                <c:pt idx="17">
                  <c:v>CI ICE-CTL</c:v>
                </c:pt>
                <c:pt idx="18">
                  <c:v>CI ICE-ICTL</c:v>
                </c:pt>
                <c:pt idx="20">
                  <c:v>SI ICE-Methanol from coal (CCS)</c:v>
                </c:pt>
                <c:pt idx="21">
                  <c:v>SI ICE-DME from coal (CCS)</c:v>
                </c:pt>
                <c:pt idx="22">
                  <c:v>CI ICE-CTL(CCS)</c:v>
                </c:pt>
                <c:pt idx="23">
                  <c:v>CI ICE-ICTL(CCS)</c:v>
                </c:pt>
                <c:pt idx="26">
                  <c:v>SI ICE-Corn ethanol</c:v>
                </c:pt>
                <c:pt idx="27">
                  <c:v>SI ICE-Cassava ethanol</c:v>
                </c:pt>
                <c:pt idx="28">
                  <c:v>SI ICE-Sweet sorghum ethanol</c:v>
                </c:pt>
                <c:pt idx="29">
                  <c:v>SI ICE-Woody ethanol</c:v>
                </c:pt>
                <c:pt idx="30">
                  <c:v>SI ICE-Herbaceous ethanol</c:v>
                </c:pt>
                <c:pt idx="32">
                  <c:v>CI ICE-Waste oil biodiesel</c:v>
                </c:pt>
                <c:pt idx="33">
                  <c:v>CI ICE-Jatropha biodiesel</c:v>
                </c:pt>
                <c:pt idx="34">
                  <c:v>CI ICE-BTL (F-T) biodiesel</c:v>
                </c:pt>
                <c:pt idx="36">
                  <c:v>BEV-Grid power (20.3KWh/100km)</c:v>
                </c:pt>
                <c:pt idx="37">
                  <c:v>BEV-Grid power (14 KWh/100km)</c:v>
                </c:pt>
                <c:pt idx="38">
                  <c:v>BEV-Grid power (16 KWh/100km)</c:v>
                </c:pt>
                <c:pt idx="39">
                  <c:v>BEV-Grid power (22.5 KWh/100km)</c:v>
                </c:pt>
                <c:pt idx="41">
                  <c:v>BEV-Coal power</c:v>
                </c:pt>
                <c:pt idx="42">
                  <c:v>BEV-Oil power</c:v>
                </c:pt>
                <c:pt idx="43">
                  <c:v>BEV-Gas power</c:v>
                </c:pt>
                <c:pt idx="44">
                  <c:v>BEV-Nuclear power</c:v>
                </c:pt>
                <c:pt idx="45">
                  <c:v>BEV-Large Hydro power</c:v>
                </c:pt>
                <c:pt idx="46">
                  <c:v>BEV-Biopower</c:v>
                </c:pt>
                <c:pt idx="48">
                  <c:v>BEV-Coal power(IGCC+CCS)</c:v>
                </c:pt>
                <c:pt idx="50">
                  <c:v>BEV-Grid power (Northeast)</c:v>
                </c:pt>
                <c:pt idx="51">
                  <c:v>BEV-Grid power (North)</c:v>
                </c:pt>
                <c:pt idx="52">
                  <c:v>BEV-Grid power (Northwest)</c:v>
                </c:pt>
                <c:pt idx="53">
                  <c:v>BEV-Grid power (Central)</c:v>
                </c:pt>
                <c:pt idx="54">
                  <c:v>BEV-Grid power (East)</c:v>
                </c:pt>
                <c:pt idx="55">
                  <c:v>BEV-Grid power (South)</c:v>
                </c:pt>
                <c:pt idx="57">
                  <c:v>FCV-Hydrogen from natural gas</c:v>
                </c:pt>
                <c:pt idx="58">
                  <c:v>FCV-Hydrogen from coal</c:v>
                </c:pt>
                <c:pt idx="59">
                  <c:v>FCV-Hydrogen from water electrolysis</c:v>
                </c:pt>
                <c:pt idx="60">
                  <c:v>FCV-Hydrogen from biomass</c:v>
                </c:pt>
                <c:pt idx="61">
                  <c:v>FCV-Hydrogen from nuclear</c:v>
                </c:pt>
                <c:pt idx="62">
                  <c:v>FCV-Hydrogen from coal (CCS)</c:v>
                </c:pt>
                <c:pt idx="64">
                  <c:v>FCV-Hydrogen from natural gas</c:v>
                </c:pt>
                <c:pt idx="65">
                  <c:v>FCV-Hydrogen from coal</c:v>
                </c:pt>
                <c:pt idx="66">
                  <c:v>FCV-Hydrogen from water electrolysis</c:v>
                </c:pt>
                <c:pt idx="67">
                  <c:v>FCV-Hydrogen from biomass</c:v>
                </c:pt>
                <c:pt idx="68">
                  <c:v>FCV-Hydrogen from nuclear</c:v>
                </c:pt>
              </c:strCache>
            </c:strRef>
          </c:cat>
          <c:val>
            <c:numRef>
              <c:f>'WTP&amp;WTW (for chart)'!$AI$3:$AI$71</c:f>
              <c:numCache>
                <c:formatCode>0.00_ </c:formatCode>
                <c:ptCount val="69"/>
                <c:pt idx="0">
                  <c:v>231.89212423122973</c:v>
                </c:pt>
                <c:pt idx="1">
                  <c:v>223.1961695725586</c:v>
                </c:pt>
                <c:pt idx="2">
                  <c:v>237.68942733701047</c:v>
                </c:pt>
                <c:pt idx="3">
                  <c:v>165.22313851475118</c:v>
                </c:pt>
                <c:pt idx="4">
                  <c:v>171.02044162053193</c:v>
                </c:pt>
                <c:pt idx="5">
                  <c:v>130.43931988006673</c:v>
                </c:pt>
                <c:pt idx="6">
                  <c:v>215.66550277163583</c:v>
                </c:pt>
                <c:pt idx="7">
                  <c:v>227.69800000000001</c:v>
                </c:pt>
                <c:pt idx="9">
                  <c:v>193.91576201711052</c:v>
                </c:pt>
                <c:pt idx="10">
                  <c:v>192.15410611989452</c:v>
                </c:pt>
                <c:pt idx="11">
                  <c:v>199.25414675722294</c:v>
                </c:pt>
                <c:pt idx="12">
                  <c:v>201.78284871511357</c:v>
                </c:pt>
                <c:pt idx="13">
                  <c:v>490.66161570898089</c:v>
                </c:pt>
                <c:pt idx="15">
                  <c:v>610.42389531027345</c:v>
                </c:pt>
                <c:pt idx="16">
                  <c:v>628.25526400000001</c:v>
                </c:pt>
                <c:pt idx="17">
                  <c:v>464.44116470554576</c:v>
                </c:pt>
                <c:pt idx="18">
                  <c:v>664.20135600000015</c:v>
                </c:pt>
                <c:pt idx="20">
                  <c:v>403.50054096780781</c:v>
                </c:pt>
                <c:pt idx="21">
                  <c:v>446.0062880000001</c:v>
                </c:pt>
                <c:pt idx="22">
                  <c:v>344.1533734045081</c:v>
                </c:pt>
                <c:pt idx="23">
                  <c:v>575.36642800000004</c:v>
                </c:pt>
                <c:pt idx="26">
                  <c:v>493.25966102567833</c:v>
                </c:pt>
                <c:pt idx="27">
                  <c:v>224.78508530659494</c:v>
                </c:pt>
                <c:pt idx="28">
                  <c:v>160.26954337595097</c:v>
                </c:pt>
                <c:pt idx="29">
                  <c:v>79.7318078857746</c:v>
                </c:pt>
                <c:pt idx="30">
                  <c:v>9.5174561427939821</c:v>
                </c:pt>
                <c:pt idx="32">
                  <c:v>394.87628388848401</c:v>
                </c:pt>
                <c:pt idx="33">
                  <c:v>40.535911534159609</c:v>
                </c:pt>
                <c:pt idx="34">
                  <c:v>16.57641439999999</c:v>
                </c:pt>
                <c:pt idx="36">
                  <c:v>230.1040297570008</c:v>
                </c:pt>
                <c:pt idx="37">
                  <c:v>158.69243431517296</c:v>
                </c:pt>
                <c:pt idx="38">
                  <c:v>181.36278207448336</c:v>
                </c:pt>
                <c:pt idx="39">
                  <c:v>255.04141229224223</c:v>
                </c:pt>
                <c:pt idx="41">
                  <c:v>295.54890121784319</c:v>
                </c:pt>
                <c:pt idx="42">
                  <c:v>317.08247496876356</c:v>
                </c:pt>
                <c:pt idx="43">
                  <c:v>159.69094623594196</c:v>
                </c:pt>
                <c:pt idx="44">
                  <c:v>6.63448275862069</c:v>
                </c:pt>
                <c:pt idx="45">
                  <c:v>5.1034482758620694</c:v>
                </c:pt>
                <c:pt idx="46">
                  <c:v>5.92</c:v>
                </c:pt>
                <c:pt idx="48">
                  <c:v>96.054249391544602</c:v>
                </c:pt>
                <c:pt idx="50">
                  <c:v>280.97559408798554</c:v>
                </c:pt>
                <c:pt idx="51">
                  <c:v>289.68895767624497</c:v>
                </c:pt>
                <c:pt idx="52">
                  <c:v>228.69541255842893</c:v>
                </c:pt>
                <c:pt idx="53">
                  <c:v>220.03308345292814</c:v>
                </c:pt>
                <c:pt idx="54">
                  <c:v>260.7719985889434</c:v>
                </c:pt>
                <c:pt idx="55">
                  <c:v>193.96954441228772</c:v>
                </c:pt>
                <c:pt idx="57">
                  <c:v>139.11407404419904</c:v>
                </c:pt>
                <c:pt idx="58">
                  <c:v>249.0260850744389</c:v>
                </c:pt>
                <c:pt idx="59">
                  <c:v>434.12971702514494</c:v>
                </c:pt>
                <c:pt idx="60">
                  <c:v>31.604884061621664</c:v>
                </c:pt>
                <c:pt idx="61">
                  <c:v>27.101173250639608</c:v>
                </c:pt>
                <c:pt idx="62">
                  <c:v>94.248399772409769</c:v>
                </c:pt>
                <c:pt idx="64">
                  <c:v>271.68499379343655</c:v>
                </c:pt>
                <c:pt idx="65">
                  <c:v>381.5970048236764</c:v>
                </c:pt>
                <c:pt idx="66">
                  <c:v>566.70063677438236</c:v>
                </c:pt>
                <c:pt idx="67">
                  <c:v>164.17580381085918</c:v>
                </c:pt>
                <c:pt idx="68">
                  <c:v>159.67209299987712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30089824"/>
        <c:axId val="-1127972816"/>
      </c:barChart>
      <c:catAx>
        <c:axId val="-11300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27972816"/>
        <c:crosses val="autoZero"/>
        <c:auto val="1"/>
        <c:lblAlgn val="ctr"/>
        <c:lblOffset val="100"/>
        <c:noMultiLvlLbl val="0"/>
      </c:catAx>
      <c:valAx>
        <c:axId val="-11279728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-113008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'NG-based (chart)'!$C$1:$C$2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7.5444944640119692E-17"/>
                  <c:y val="-9.4562647754137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851851851851858E-2"/>
                  <c:y val="-2.3465435614874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'NG-based (chart)'!$D$3:$D$11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</c:v>
                  </c:pt>
                  <c:pt idx="8">
                    <c:v>0.86311676326106934</c:v>
                  </c:pt>
                </c:numCache>
              </c:numRef>
            </c:plus>
            <c:minus>
              <c:numRef>
                <c:f>'NG-based (chart)'!$E$3:$E$11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0.17016538842238663</c:v>
                  </c:pt>
                  <c:pt idx="8">
                    <c:v>0.86311676326106934</c:v>
                  </c:pt>
                </c:numCache>
              </c:numRef>
            </c:minus>
          </c:errBars>
          <c:cat>
            <c:strRef>
              <c:f>'NG-based (chart)'!$A$3:$A$11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 (chart)'!$C$3:$C$11</c:f>
              <c:numCache>
                <c:formatCode>0.00_ </c:formatCode>
                <c:ptCount val="9"/>
                <c:pt idx="0">
                  <c:v>3.2156682733811834</c:v>
                </c:pt>
                <c:pt idx="1">
                  <c:v>2.9056661351766362</c:v>
                </c:pt>
                <c:pt idx="3">
                  <c:v>3.1912734652460677</c:v>
                </c:pt>
                <c:pt idx="4">
                  <c:v>3.2004182665971324</c:v>
                </c:pt>
                <c:pt idx="5">
                  <c:v>3.2433822205019567</c:v>
                </c:pt>
                <c:pt idx="6">
                  <c:v>3.1949738200975157</c:v>
                </c:pt>
                <c:pt idx="7">
                  <c:v>3.2331423800253454</c:v>
                </c:pt>
                <c:pt idx="8">
                  <c:v>4.8909949918127262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83152"/>
        <c:axId val="-1127985328"/>
      </c:barChart>
      <c:catAx>
        <c:axId val="-112798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85328"/>
        <c:crosses val="autoZero"/>
        <c:auto val="1"/>
        <c:lblAlgn val="ctr"/>
        <c:lblOffset val="100"/>
        <c:noMultiLvlLbl val="0"/>
      </c:catAx>
      <c:valAx>
        <c:axId val="-1127985328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798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'NG-based (chart)'!$F$1:$F$2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15002512779475E-17"/>
                  <c:y val="-3.0769230769230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'NG-based (chart)'!$G$3:$G$11</c:f>
                <c:numCache>
                  <c:formatCode>General</c:formatCode>
                  <c:ptCount val="9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10.113374006310238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plus>
            <c:minus>
              <c:numRef>
                <c:f>'NG-based (chart)'!$H$3:$H$11</c:f>
                <c:numCache>
                  <c:formatCode>General</c:formatCode>
                  <c:ptCount val="9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10.11337400631024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minus>
          </c:errBars>
          <c:cat>
            <c:strRef>
              <c:f>'NG-based (chart)'!$A$3:$A$11</c:f>
              <c:strCache>
                <c:ptCount val="9"/>
                <c:pt idx="0">
                  <c:v>SI ICE-Gasoline (8L/100km)</c:v>
                </c:pt>
                <c:pt idx="1">
                  <c:v>CI ICE-Diesel</c:v>
                </c:pt>
                <c:pt idx="3">
                  <c:v>SI ICE-LPG</c:v>
                </c:pt>
                <c:pt idx="4">
                  <c:v>SI ICE-CNG</c:v>
                </c:pt>
                <c:pt idx="5">
                  <c:v>SI ICE-LNG1</c:v>
                </c:pt>
                <c:pt idx="6">
                  <c:v>SI ICE-LNG2</c:v>
                </c:pt>
                <c:pt idx="7">
                  <c:v>SI ICE-LNG3</c:v>
                </c:pt>
                <c:pt idx="8">
                  <c:v>CI ICE-GTL</c:v>
                </c:pt>
              </c:strCache>
            </c:strRef>
          </c:cat>
          <c:val>
            <c:numRef>
              <c:f>'NG-based (chart)'!$F$3:$F$11</c:f>
              <c:numCache>
                <c:formatCode>0.00_ </c:formatCode>
                <c:ptCount val="9"/>
                <c:pt idx="0">
                  <c:v>231.89212423122973</c:v>
                </c:pt>
                <c:pt idx="1">
                  <c:v>215.66550277163583</c:v>
                </c:pt>
                <c:pt idx="3">
                  <c:v>227.69800000000001</c:v>
                </c:pt>
                <c:pt idx="4">
                  <c:v>193.91576201711052</c:v>
                </c:pt>
                <c:pt idx="5">
                  <c:v>192.15410611989452</c:v>
                </c:pt>
                <c:pt idx="6">
                  <c:v>199.25414675722294</c:v>
                </c:pt>
                <c:pt idx="7">
                  <c:v>201.78284871511357</c:v>
                </c:pt>
                <c:pt idx="8">
                  <c:v>490.66161570898089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80976"/>
        <c:axId val="-1127982608"/>
      </c:barChart>
      <c:catAx>
        <c:axId val="-112798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82608"/>
        <c:crosses val="autoZero"/>
        <c:auto val="1"/>
        <c:lblAlgn val="ctr"/>
        <c:lblOffset val="100"/>
        <c:noMultiLvlLbl val="0"/>
      </c:catAx>
      <c:valAx>
        <c:axId val="-1127982608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798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'NG-based (chart)'!$C$1:$C$2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7.5444944640119692E-17"/>
                  <c:y val="-9.4562647754137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851851851851858E-2"/>
                  <c:y val="-2.3465435614874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7037037037037056E-2"/>
                  <c:y val="6.30417651694244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'NG-based (chart)'!$D$3:$D$11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</c:v>
                  </c:pt>
                  <c:pt idx="8">
                    <c:v>0.86311676326106934</c:v>
                  </c:pt>
                </c:numCache>
              </c:numRef>
            </c:plus>
            <c:minus>
              <c:numRef>
                <c:f>'NG-based (chart)'!$E$3:$E$11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0.17016538842238663</c:v>
                  </c:pt>
                  <c:pt idx="8">
                    <c:v>0.86311676326106934</c:v>
                  </c:pt>
                </c:numCache>
              </c:numRef>
            </c:minus>
          </c:errBars>
          <c:cat>
            <c:strRef>
              <c:f>('NG-based (chart)'!$B$3:$B$5,'NG-based (chart)'!$B$7:$B$11)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 (chart)'!$C$3:$C$5,'NG-based (chart)'!$C$7:$C$11)</c:f>
              <c:numCache>
                <c:formatCode>0.00_ </c:formatCode>
                <c:ptCount val="8"/>
                <c:pt idx="0">
                  <c:v>3.2156682733811834</c:v>
                </c:pt>
                <c:pt idx="1">
                  <c:v>2.9056661351766362</c:v>
                </c:pt>
                <c:pt idx="3">
                  <c:v>3.2004182665971324</c:v>
                </c:pt>
                <c:pt idx="4">
                  <c:v>3.2433822205019567</c:v>
                </c:pt>
                <c:pt idx="5">
                  <c:v>3.1949738200975157</c:v>
                </c:pt>
                <c:pt idx="6">
                  <c:v>3.2331423800253454</c:v>
                </c:pt>
                <c:pt idx="7">
                  <c:v>4.8909949918127262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79888"/>
        <c:axId val="-1127972272"/>
      </c:barChart>
      <c:catAx>
        <c:axId val="-11279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72272"/>
        <c:crosses val="autoZero"/>
        <c:auto val="1"/>
        <c:lblAlgn val="ctr"/>
        <c:lblOffset val="100"/>
        <c:noMultiLvlLbl val="0"/>
      </c:catAx>
      <c:valAx>
        <c:axId val="-1127972272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797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'NG-based (chart)'!$F$1:$F$2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15002512779475E-17"/>
                  <c:y val="-3.0769230769230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'NG-based (chart)'!$G$3:$G$11</c:f>
                <c:numCache>
                  <c:formatCode>General</c:formatCode>
                  <c:ptCount val="9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10.113374006310238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plus>
            <c:minus>
              <c:numRef>
                <c:f>'NG-based (chart)'!$H$3:$H$11</c:f>
                <c:numCache>
                  <c:formatCode>General</c:formatCode>
                  <c:ptCount val="9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10.11337400631024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minus>
          </c:errBars>
          <c:cat>
            <c:strRef>
              <c:f>('NG-based (chart)'!$B$3:$B$5,'NG-based (chart)'!$B$7:$B$11)</c:f>
              <c:strCache>
                <c:ptCount val="8"/>
                <c:pt idx="0">
                  <c:v>汽油车</c:v>
                </c:pt>
                <c:pt idx="1">
                  <c:v>柴油车</c:v>
                </c:pt>
                <c:pt idx="3">
                  <c:v>CNG车</c:v>
                </c:pt>
                <c:pt idx="4">
                  <c:v>LNG车(海外进口)</c:v>
                </c:pt>
                <c:pt idx="5">
                  <c:v>LNG车(井口液化)</c:v>
                </c:pt>
                <c:pt idx="6">
                  <c:v>LNG车(管道气液化)</c:v>
                </c:pt>
                <c:pt idx="7">
                  <c:v>GTL车</c:v>
                </c:pt>
              </c:strCache>
            </c:strRef>
          </c:cat>
          <c:val>
            <c:numRef>
              <c:f>('NG-based (chart)'!$F$3:$F$5,'NG-based (chart)'!$F$7:$F$11)</c:f>
              <c:numCache>
                <c:formatCode>0.00_ </c:formatCode>
                <c:ptCount val="8"/>
                <c:pt idx="0">
                  <c:v>231.89212423122973</c:v>
                </c:pt>
                <c:pt idx="1">
                  <c:v>215.66550277163583</c:v>
                </c:pt>
                <c:pt idx="3">
                  <c:v>193.91576201711052</c:v>
                </c:pt>
                <c:pt idx="4">
                  <c:v>192.15410611989452</c:v>
                </c:pt>
                <c:pt idx="5">
                  <c:v>199.25414675722294</c:v>
                </c:pt>
                <c:pt idx="6">
                  <c:v>201.78284871511357</c:v>
                </c:pt>
                <c:pt idx="7">
                  <c:v>490.66161570898089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81520"/>
        <c:axId val="-1127977168"/>
      </c:barChart>
      <c:catAx>
        <c:axId val="-112798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77168"/>
        <c:crosses val="autoZero"/>
        <c:auto val="1"/>
        <c:lblAlgn val="ctr"/>
        <c:lblOffset val="100"/>
        <c:noMultiLvlLbl val="0"/>
      </c:catAx>
      <c:valAx>
        <c:axId val="-1127977168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798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464370570814561E-2"/>
          <c:y val="0.1431209874982558"/>
          <c:w val="0.88991781270276749"/>
          <c:h val="0.4221651995728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'Biofuel(chart)'!$C$1:$C$2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4.8959602031682127E-3"/>
                  <c:y val="-3.0690537084399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4353187965699604E-2"/>
                  <c:y val="-2.3809530186279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'Biofuel(chart)'!$D$3:$D$14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0.40031691847548456</c:v>
                  </c:pt>
                  <c:pt idx="4">
                    <c:v>0.22770210286958875</c:v>
                  </c:pt>
                  <c:pt idx="5">
                    <c:v>2.5500831975581639</c:v>
                  </c:pt>
                  <c:pt idx="6">
                    <c:v>0.10380947994344818</c:v>
                  </c:pt>
                  <c:pt idx="7">
                    <c:v>5.747870953957377E-2</c:v>
                  </c:pt>
                  <c:pt idx="9">
                    <c:v>0.24700960671255559</c:v>
                  </c:pt>
                  <c:pt idx="10">
                    <c:v>5.485734017964667E-2</c:v>
                  </c:pt>
                  <c:pt idx="11">
                    <c:v>3.3198620000000005E-2</c:v>
                  </c:pt>
                </c:numCache>
              </c:numRef>
            </c:plus>
            <c:minus>
              <c:numRef>
                <c:f>'Biofuel(chart)'!$E$3:$E$14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0.90071306656984018</c:v>
                  </c:pt>
                  <c:pt idx="4">
                    <c:v>0.51232973145657468</c:v>
                  </c:pt>
                  <c:pt idx="5">
                    <c:v>0.42501386625969406</c:v>
                  </c:pt>
                  <c:pt idx="6">
                    <c:v>0.10380947994344818</c:v>
                  </c:pt>
                  <c:pt idx="7">
                    <c:v>5.7478709539573763E-2</c:v>
                  </c:pt>
                  <c:pt idx="9">
                    <c:v>0.95275134017700003</c:v>
                  </c:pt>
                  <c:pt idx="10">
                    <c:v>5.4857340179646663E-2</c:v>
                  </c:pt>
                  <c:pt idx="11">
                    <c:v>3.3198620000000005E-2</c:v>
                  </c:pt>
                </c:numCache>
              </c:numRef>
            </c:minus>
          </c:errBars>
          <c:cat>
            <c:strRef>
              <c:f>'Biofuel(chart)'!$B$3:$B$14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'Biofuel(chart)'!$C$3:$C$14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2.9056661351766362</c:v>
                </c:pt>
                <c:pt idx="3">
                  <c:v>3.6028522662793607</c:v>
                </c:pt>
                <c:pt idx="4">
                  <c:v>2.0493189258262987</c:v>
                </c:pt>
                <c:pt idx="5">
                  <c:v>1.7000554650387762</c:v>
                </c:pt>
                <c:pt idx="6">
                  <c:v>0.93428531949103355</c:v>
                </c:pt>
                <c:pt idx="7">
                  <c:v>0.5173083858561639</c:v>
                </c:pt>
                <c:pt idx="9">
                  <c:v>2.2230864604130001</c:v>
                </c:pt>
                <c:pt idx="10">
                  <c:v>0.49371606161681997</c:v>
                </c:pt>
                <c:pt idx="11">
                  <c:v>0.13279448000000002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71184"/>
        <c:axId val="-1127977712"/>
      </c:barChart>
      <c:catAx>
        <c:axId val="-112797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-1127977712"/>
        <c:crosses val="autoZero"/>
        <c:auto val="1"/>
        <c:lblAlgn val="ctr"/>
        <c:lblOffset val="100"/>
        <c:noMultiLvlLbl val="0"/>
      </c:catAx>
      <c:valAx>
        <c:axId val="-1127977712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797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16181229773746E-2"/>
          <c:y val="7.1065989847716005E-2"/>
          <c:w val="0.91909385113268605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summary'!$E$48:$I$48</c:f>
              <c:strCache>
                <c:ptCount val="5"/>
                <c:pt idx="0">
                  <c:v>NG开采处理阶段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summary'!$E$57:$I$57</c:f>
              <c:numCache>
                <c:formatCode>General</c:formatCode>
                <c:ptCount val="5"/>
                <c:pt idx="0" formatCode="0.0">
                  <c:v>9.35460521588608</c:v>
                </c:pt>
                <c:pt idx="2" formatCode="0.0">
                  <c:v>11.989659457093188</c:v>
                </c:pt>
                <c:pt idx="3" formatCode="0.0">
                  <c:v>0.4816401677656395</c:v>
                </c:pt>
                <c:pt idx="4" formatCode="0.0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981808"/>
        <c:axId val="-1132978000"/>
      </c:barChart>
      <c:catAx>
        <c:axId val="-113298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78000"/>
        <c:crosses val="autoZero"/>
        <c:auto val="1"/>
        <c:lblAlgn val="ctr"/>
        <c:lblOffset val="100"/>
        <c:noMultiLvlLbl val="0"/>
      </c:catAx>
      <c:valAx>
        <c:axId val="-113297800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98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'Biofuel(chart)'!$F$1:$F$2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3.0932030932030931E-2"/>
                  <c:y val="2.7100271002710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2560032560032558E-2"/>
                  <c:y val="8.1300813008130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932030932030931E-2"/>
                  <c:y val="1.6260162601626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'Biofuel(chart)'!$G$3:$G$14</c:f>
                <c:numCache>
                  <c:formatCode>General</c:formatCode>
                  <c:ptCount val="12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54.80662900285315</c:v>
                  </c:pt>
                  <c:pt idx="4">
                    <c:v>24.976120589621662</c:v>
                  </c:pt>
                  <c:pt idx="5">
                    <c:v>240.40431506392642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43.875142654276004</c:v>
                  </c:pt>
                  <c:pt idx="10">
                    <c:v>4.5039901704621794</c:v>
                  </c:pt>
                  <c:pt idx="11">
                    <c:v>4.1441035999999976</c:v>
                  </c:pt>
                </c:numCache>
              </c:numRef>
            </c:plus>
            <c:minus>
              <c:numRef>
                <c:f>'Biofuel(chart)'!$H$3:$H$14</c:f>
                <c:numCache>
                  <c:formatCode>General</c:formatCode>
                  <c:ptCount val="12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123.31491525641958</c:v>
                  </c:pt>
                  <c:pt idx="4">
                    <c:v>56.196271326648741</c:v>
                  </c:pt>
                  <c:pt idx="5">
                    <c:v>40.067385843987736</c:v>
                  </c:pt>
                  <c:pt idx="6">
                    <c:v>-8.8590897650860665</c:v>
                  </c:pt>
                  <c:pt idx="7">
                    <c:v>1.0574951269771091</c:v>
                  </c:pt>
                  <c:pt idx="9">
                    <c:v>169.23269309506458</c:v>
                  </c:pt>
                  <c:pt idx="10">
                    <c:v>4.5039901704621785</c:v>
                  </c:pt>
                  <c:pt idx="11">
                    <c:v>4.1441035999999976</c:v>
                  </c:pt>
                </c:numCache>
              </c:numRef>
            </c:minus>
          </c:errBars>
          <c:cat>
            <c:strRef>
              <c:f>'Biofuel(chart)'!$B$3:$B$14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玉米乙醇汽车</c:v>
                </c:pt>
                <c:pt idx="4">
                  <c:v>木薯乙醇汽车</c:v>
                </c:pt>
                <c:pt idx="5">
                  <c:v>甜高粱乙醇汽车</c:v>
                </c:pt>
                <c:pt idx="6">
                  <c:v>木本二代生物燃料汽车</c:v>
                </c:pt>
                <c:pt idx="7">
                  <c:v>草本二代生物燃料汽车</c:v>
                </c:pt>
                <c:pt idx="9">
                  <c:v>废弃油生物柴油汽车</c:v>
                </c:pt>
                <c:pt idx="10">
                  <c:v>小桐子生物柴油汽车</c:v>
                </c:pt>
                <c:pt idx="11">
                  <c:v>费托生物柴油汽车</c:v>
                </c:pt>
              </c:strCache>
            </c:strRef>
          </c:cat>
          <c:val>
            <c:numRef>
              <c:f>'Biofuel(chart)'!$F$3:$F$14</c:f>
              <c:numCache>
                <c:formatCode>0.00_ </c:formatCode>
                <c:ptCount val="12"/>
                <c:pt idx="0">
                  <c:v>231.89212423122973</c:v>
                </c:pt>
                <c:pt idx="1">
                  <c:v>215.66550277163583</c:v>
                </c:pt>
                <c:pt idx="3">
                  <c:v>493.25966102567833</c:v>
                </c:pt>
                <c:pt idx="4">
                  <c:v>224.78508530659494</c:v>
                </c:pt>
                <c:pt idx="5">
                  <c:v>160.26954337595097</c:v>
                </c:pt>
                <c:pt idx="6">
                  <c:v>79.7318078857746</c:v>
                </c:pt>
                <c:pt idx="7">
                  <c:v>9.5174561427939821</c:v>
                </c:pt>
                <c:pt idx="9">
                  <c:v>394.87628388848401</c:v>
                </c:pt>
                <c:pt idx="10">
                  <c:v>40.535911534159609</c:v>
                </c:pt>
                <c:pt idx="11">
                  <c:v>16.57641439999999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80432"/>
        <c:axId val="-1127976624"/>
      </c:barChart>
      <c:catAx>
        <c:axId val="-112798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76624"/>
        <c:crossesAt val="0"/>
        <c:auto val="1"/>
        <c:lblAlgn val="ctr"/>
        <c:lblOffset val="100"/>
        <c:noMultiLvlLbl val="0"/>
      </c:catAx>
      <c:valAx>
        <c:axId val="-1127976624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798043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'Coal-based(chart)'!$C$1:$C$2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'Coal-based(chart)'!$D$3:$D$14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0.92417205052731077</c:v>
                  </c:pt>
                  <c:pt idx="4">
                    <c:v>0.9518021201413428</c:v>
                  </c:pt>
                  <c:pt idx="5">
                    <c:v>0.68325936025688139</c:v>
                  </c:pt>
                  <c:pt idx="6">
                    <c:v>0.68644240570846093</c:v>
                  </c:pt>
                  <c:pt idx="8">
                    <c:v>1.6652986925578288</c:v>
                  </c:pt>
                  <c:pt idx="9">
                    <c:v>1.6354000000000002</c:v>
                  </c:pt>
                  <c:pt idx="10">
                    <c:v>1.3376770814159582</c:v>
                  </c:pt>
                  <c:pt idx="11">
                    <c:v>1.2155234657039715</c:v>
                  </c:pt>
                </c:numCache>
              </c:numRef>
            </c:plus>
            <c:minus>
              <c:numRef>
                <c:f>'Coal-based(chart)'!$E$3:$E$14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1.3092437382470234</c:v>
                  </c:pt>
                  <c:pt idx="4">
                    <c:v>1.348386336866902</c:v>
                  </c:pt>
                  <c:pt idx="5">
                    <c:v>1.0851766309962232</c:v>
                  </c:pt>
                  <c:pt idx="6">
                    <c:v>1.0902320561252026</c:v>
                  </c:pt>
                  <c:pt idx="8">
                    <c:v>2.2203982567437719</c:v>
                  </c:pt>
                  <c:pt idx="9">
                    <c:v>2.1805333333333334</c:v>
                  </c:pt>
                  <c:pt idx="10">
                    <c:v>1.8950425320059405</c:v>
                  </c:pt>
                  <c:pt idx="11">
                    <c:v>1.7219915764139593</c:v>
                  </c:pt>
                </c:numCache>
              </c:numRef>
            </c:minus>
          </c:errBars>
          <c:cat>
            <c:strRef>
              <c:f>'Coal-based(chart)'!$B$3:$B$14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'Coal-based(chart)'!$C$3:$C$14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2.9056661351766362</c:v>
                </c:pt>
                <c:pt idx="3">
                  <c:v>5.2369749529880938</c:v>
                </c:pt>
                <c:pt idx="4">
                  <c:v>5.3935453474676089</c:v>
                </c:pt>
                <c:pt idx="5">
                  <c:v>6.1493342423119319</c:v>
                </c:pt>
                <c:pt idx="6">
                  <c:v>6.1779816513761476</c:v>
                </c:pt>
                <c:pt idx="8">
                  <c:v>6.6611947702313152</c:v>
                </c:pt>
                <c:pt idx="9">
                  <c:v>6.5416000000000007</c:v>
                </c:pt>
                <c:pt idx="10">
                  <c:v>7.5801701280237612</c:v>
                </c:pt>
                <c:pt idx="11">
                  <c:v>6.8879663056558371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7976080"/>
        <c:axId val="-1127983696"/>
      </c:barChart>
      <c:catAx>
        <c:axId val="-11279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7983696"/>
        <c:crosses val="autoZero"/>
        <c:auto val="1"/>
        <c:lblAlgn val="ctr"/>
        <c:lblOffset val="100"/>
        <c:noMultiLvlLbl val="0"/>
      </c:catAx>
      <c:valAx>
        <c:axId val="-1127983696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797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'Coal-based(chart)'!$F$1:$F$2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'Coal-based(chart)'!$G$3:$G$14</c:f>
                <c:numCache>
                  <c:formatCode>General</c:formatCode>
                  <c:ptCount val="12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107.72186387828356</c:v>
                  </c:pt>
                  <c:pt idx="4">
                    <c:v>110.868576</c:v>
                  </c:pt>
                  <c:pt idx="5">
                    <c:v>51.604573856171754</c:v>
                  </c:pt>
                  <c:pt idx="6">
                    <c:v>73.800150666666681</c:v>
                  </c:pt>
                  <c:pt idx="8">
                    <c:v>100.87513524195195</c:v>
                  </c:pt>
                  <c:pt idx="9">
                    <c:v>111.50157200000002</c:v>
                  </c:pt>
                  <c:pt idx="10">
                    <c:v>60.732948247854381</c:v>
                  </c:pt>
                  <c:pt idx="11">
                    <c:v>101.53525200000003</c:v>
                  </c:pt>
                </c:numCache>
              </c:numRef>
            </c:plus>
            <c:minus>
              <c:numRef>
                <c:f>'Coal-based(chart)'!$H$3:$H$14</c:f>
                <c:numCache>
                  <c:formatCode>General</c:formatCode>
                  <c:ptCount val="12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152.60597382756836</c:v>
                  </c:pt>
                  <c:pt idx="4">
                    <c:v>157.063816</c:v>
                  </c:pt>
                  <c:pt idx="5">
                    <c:v>81.960205536272781</c:v>
                  </c:pt>
                  <c:pt idx="6">
                    <c:v>117.21200400000002</c:v>
                  </c:pt>
                  <c:pt idx="8">
                    <c:v>134.5001803226026</c:v>
                  </c:pt>
                  <c:pt idx="9">
                    <c:v>148.66876266666671</c:v>
                  </c:pt>
                  <c:pt idx="10">
                    <c:v>86.038343351127025</c:v>
                  </c:pt>
                  <c:pt idx="11">
                    <c:v>143.84160700000001</c:v>
                  </c:pt>
                </c:numCache>
              </c:numRef>
            </c:minus>
          </c:errBars>
          <c:cat>
            <c:strRef>
              <c:f>'Coal-based(chart)'!$B$3:$B$14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甲醇（煤基）汽车</c:v>
                </c:pt>
                <c:pt idx="4">
                  <c:v>DME（煤基）汽车</c:v>
                </c:pt>
                <c:pt idx="5">
                  <c:v>CTL（煤基）汽车</c:v>
                </c:pt>
                <c:pt idx="6">
                  <c:v>ICTL（煤基）汽车</c:v>
                </c:pt>
                <c:pt idx="8">
                  <c:v>甲醇（煤基+CCS）汽车</c:v>
                </c:pt>
                <c:pt idx="9">
                  <c:v>DME（煤基+CCS）汽车</c:v>
                </c:pt>
                <c:pt idx="10">
                  <c:v>CTL（煤基+CCS）汽车</c:v>
                </c:pt>
                <c:pt idx="11">
                  <c:v>ICTL（煤基+CCS）汽车</c:v>
                </c:pt>
              </c:strCache>
            </c:strRef>
          </c:cat>
          <c:val>
            <c:numRef>
              <c:f>'Coal-based(chart)'!$F$3:$F$14</c:f>
              <c:numCache>
                <c:formatCode>0.00_ </c:formatCode>
                <c:ptCount val="12"/>
                <c:pt idx="0">
                  <c:v>231.89212423122973</c:v>
                </c:pt>
                <c:pt idx="1">
                  <c:v>215.66550277163583</c:v>
                </c:pt>
                <c:pt idx="3">
                  <c:v>610.42389531027345</c:v>
                </c:pt>
                <c:pt idx="4">
                  <c:v>628.25526400000001</c:v>
                </c:pt>
                <c:pt idx="5">
                  <c:v>464.44116470554576</c:v>
                </c:pt>
                <c:pt idx="6">
                  <c:v>664.20135600000015</c:v>
                </c:pt>
                <c:pt idx="8">
                  <c:v>403.50054096780781</c:v>
                </c:pt>
                <c:pt idx="9">
                  <c:v>446.0062880000001</c:v>
                </c:pt>
                <c:pt idx="10">
                  <c:v>344.1533734045081</c:v>
                </c:pt>
                <c:pt idx="11">
                  <c:v>575.36642800000004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96144"/>
        <c:axId val="-1126911920"/>
      </c:barChart>
      <c:catAx>
        <c:axId val="-11268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911920"/>
        <c:crosses val="autoZero"/>
        <c:auto val="1"/>
        <c:lblAlgn val="ctr"/>
        <c:lblOffset val="100"/>
        <c:noMultiLvlLbl val="0"/>
      </c:catAx>
      <c:valAx>
        <c:axId val="-1126911920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689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'EV(chart)'!$C$1:$C$2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0"/>
                  <c:y val="-5.1708217913204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6792609030642077E-3"/>
                  <c:y val="-3.3240997229917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'EV(chart)'!$D$3:$D$14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0.28899815745378488</c:v>
                  </c:pt>
                  <c:pt idx="5">
                    <c:v>0.36129749108765208</c:v>
                  </c:pt>
                  <c:pt idx="6">
                    <c:v>0.46489531422072827</c:v>
                  </c:pt>
                  <c:pt idx="7">
                    <c:v>0.29793789307879998</c:v>
                  </c:pt>
                  <c:pt idx="8">
                    <c:v>7.1448275862068967E-3</c:v>
                  </c:pt>
                  <c:pt idx="9">
                    <c:v>0</c:v>
                  </c:pt>
                  <c:pt idx="10">
                    <c:v>8.619157088122607E-3</c:v>
                  </c:pt>
                  <c:pt idx="11">
                    <c:v>0.64257916221855271</c:v>
                  </c:pt>
                </c:numCache>
              </c:numRef>
            </c:plus>
            <c:minus>
              <c:numRef>
                <c:f>'EV(chart)'!$E$3:$E$14</c:f>
                <c:numCache>
                  <c:formatCode>General</c:formatCode>
                  <c:ptCount val="12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0.28899815745378482</c:v>
                  </c:pt>
                  <c:pt idx="5">
                    <c:v>0.36129749108765208</c:v>
                  </c:pt>
                  <c:pt idx="6">
                    <c:v>0.46489531422072822</c:v>
                  </c:pt>
                  <c:pt idx="7">
                    <c:v>0.29793789307879998</c:v>
                  </c:pt>
                  <c:pt idx="8">
                    <c:v>7.1448275862068967E-3</c:v>
                  </c:pt>
                  <c:pt idx="9">
                    <c:v>0</c:v>
                  </c:pt>
                  <c:pt idx="10">
                    <c:v>8.6191570881226053E-3</c:v>
                  </c:pt>
                  <c:pt idx="11">
                    <c:v>0.64257916221855271</c:v>
                  </c:pt>
                </c:numCache>
              </c:numRef>
            </c:minus>
          </c:errBars>
          <c:cat>
            <c:strRef>
              <c:f>'EV(chart)'!$B$3:$B$14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'EV(chart)'!$C$3:$C$14</c:f>
              <c:numCache>
                <c:formatCode>0.00_ </c:formatCode>
                <c:ptCount val="12"/>
                <c:pt idx="0">
                  <c:v>3.2156682733811834</c:v>
                </c:pt>
                <c:pt idx="1">
                  <c:v>2.9056661351766362</c:v>
                </c:pt>
                <c:pt idx="3">
                  <c:v>2.6009834170840636</c:v>
                </c:pt>
                <c:pt idx="5">
                  <c:v>3.2516774197888685</c:v>
                </c:pt>
                <c:pt idx="6">
                  <c:v>4.1840578279865541</c:v>
                </c:pt>
                <c:pt idx="7">
                  <c:v>2.6814410377091997</c:v>
                </c:pt>
                <c:pt idx="8">
                  <c:v>6.4303448275862068E-2</c:v>
                </c:pt>
                <c:pt idx="9">
                  <c:v>0</c:v>
                </c:pt>
                <c:pt idx="10">
                  <c:v>7.7572413793103451E-2</c:v>
                </c:pt>
                <c:pt idx="11">
                  <c:v>3.6412819192384651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99408"/>
        <c:axId val="-1126913008"/>
      </c:barChart>
      <c:catAx>
        <c:axId val="-112689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913008"/>
        <c:crosses val="autoZero"/>
        <c:auto val="1"/>
        <c:lblAlgn val="ctr"/>
        <c:lblOffset val="100"/>
        <c:noMultiLvlLbl val="0"/>
      </c:catAx>
      <c:valAx>
        <c:axId val="-1126913008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689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'EV(chart)'!$F$1:$F$2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3.8834951456310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750418760469097E-3"/>
                  <c:y val="-2.912621359223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0251256281406975E-3"/>
                  <c:y val="-4.2071197411003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5.0251256281406975E-3"/>
                  <c:y val="-2.912621359223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750418760469097E-3"/>
                  <c:y val="-3.5598705501618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2.2653721682847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1.9417475728155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'EV(chart)'!$G$3:$G$14</c:f>
                <c:numCache>
                  <c:formatCode>General</c:formatCode>
                  <c:ptCount val="12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25.567114417444536</c:v>
                  </c:pt>
                  <c:pt idx="5">
                    <c:v>32.83876680198258</c:v>
                  </c:pt>
                  <c:pt idx="6">
                    <c:v>35.231386107640397</c:v>
                  </c:pt>
                  <c:pt idx="7">
                    <c:v>17.74343847066022</c:v>
                  </c:pt>
                  <c:pt idx="8">
                    <c:v>0.7371647509578545</c:v>
                  </c:pt>
                  <c:pt idx="9">
                    <c:v>0</c:v>
                  </c:pt>
                  <c:pt idx="10">
                    <c:v>0.65777777777777779</c:v>
                  </c:pt>
                  <c:pt idx="11">
                    <c:v>16.95074989262552</c:v>
                  </c:pt>
                </c:numCache>
              </c:numRef>
            </c:plus>
            <c:minus>
              <c:numRef>
                <c:f>'EV(chart)'!$H$3:$H$14</c:f>
                <c:numCache>
                  <c:formatCode>General</c:formatCode>
                  <c:ptCount val="12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25.567114417444536</c:v>
                  </c:pt>
                  <c:pt idx="5">
                    <c:v>32.83876680198258</c:v>
                  </c:pt>
                  <c:pt idx="6">
                    <c:v>35.231386107640397</c:v>
                  </c:pt>
                  <c:pt idx="7">
                    <c:v>17.74343847066022</c:v>
                  </c:pt>
                  <c:pt idx="8">
                    <c:v>0.73716475095785439</c:v>
                  </c:pt>
                  <c:pt idx="9">
                    <c:v>0</c:v>
                  </c:pt>
                  <c:pt idx="10">
                    <c:v>0.65777777777777768</c:v>
                  </c:pt>
                  <c:pt idx="11">
                    <c:v>16.950749892625517</c:v>
                  </c:pt>
                </c:numCache>
              </c:numRef>
            </c:minus>
          </c:errBars>
          <c:cat>
            <c:strRef>
              <c:f>'EV(chart)'!$B$3:$B$14</c:f>
              <c:strCache>
                <c:ptCount val="12"/>
                <c:pt idx="0">
                  <c:v>汽油车</c:v>
                </c:pt>
                <c:pt idx="1">
                  <c:v>柴油车</c:v>
                </c:pt>
                <c:pt idx="3">
                  <c:v>纯电动汽车（网电）</c:v>
                </c:pt>
                <c:pt idx="5">
                  <c:v>纯电动汽车（煤电）</c:v>
                </c:pt>
                <c:pt idx="6">
                  <c:v>纯电动汽车（油电）</c:v>
                </c:pt>
                <c:pt idx="7">
                  <c:v>纯电动汽车（气电）</c:v>
                </c:pt>
                <c:pt idx="8">
                  <c:v>纯电动汽车（核电）</c:v>
                </c:pt>
                <c:pt idx="9">
                  <c:v>纯电动汽车（大水电）</c:v>
                </c:pt>
                <c:pt idx="10">
                  <c:v>纯电动汽车（生物质电）</c:v>
                </c:pt>
                <c:pt idx="11">
                  <c:v>纯电动汽车（煤电IGCC+CCS）</c:v>
                </c:pt>
              </c:strCache>
            </c:strRef>
          </c:cat>
          <c:val>
            <c:numRef>
              <c:f>'EV(chart)'!$F$3:$F$14</c:f>
              <c:numCache>
                <c:formatCode>0.00_ </c:formatCode>
                <c:ptCount val="12"/>
                <c:pt idx="0">
                  <c:v>231.89212423122973</c:v>
                </c:pt>
                <c:pt idx="1">
                  <c:v>215.66550277163583</c:v>
                </c:pt>
                <c:pt idx="3">
                  <c:v>230.1040297570008</c:v>
                </c:pt>
                <c:pt idx="5">
                  <c:v>295.54890121784319</c:v>
                </c:pt>
                <c:pt idx="6">
                  <c:v>317.08247496876356</c:v>
                </c:pt>
                <c:pt idx="7">
                  <c:v>159.69094623594196</c:v>
                </c:pt>
                <c:pt idx="8">
                  <c:v>6.63448275862069</c:v>
                </c:pt>
                <c:pt idx="9">
                  <c:v>5.1034482758620694</c:v>
                </c:pt>
                <c:pt idx="10">
                  <c:v>5.92</c:v>
                </c:pt>
                <c:pt idx="11">
                  <c:v>96.054249391544602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88528"/>
        <c:axId val="-1126910832"/>
      </c:barChart>
      <c:catAx>
        <c:axId val="-112688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910832"/>
        <c:crosses val="autoZero"/>
        <c:auto val="1"/>
        <c:lblAlgn val="ctr"/>
        <c:lblOffset val="100"/>
        <c:noMultiLvlLbl val="0"/>
      </c:catAx>
      <c:valAx>
        <c:axId val="-1126910832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688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464370570814561E-2"/>
          <c:y val="0.1431209874982558"/>
          <c:w val="0.88991781270276749"/>
          <c:h val="0.4221651995728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'total(chart)'!$D$36:$D$37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4.8959602031682127E-3"/>
                  <c:y val="-3.0690537084399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2635467813722438E-2"/>
                  <c:y val="-3.83618060192369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1777010176503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4355402035300582E-3"/>
                  <c:y val="-1.5534845146951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'total(chart)'!$E$38:$E$80</c:f>
                <c:numCache>
                  <c:formatCode>General</c:formatCode>
                  <c:ptCount val="43"/>
                  <c:pt idx="0">
                    <c:v>0.16924569859900968</c:v>
                  </c:pt>
                  <c:pt idx="1">
                    <c:v>0.15292979658824402</c:v>
                  </c:pt>
                  <c:pt idx="4">
                    <c:v>0.16796176132874041</c:v>
                  </c:pt>
                  <c:pt idx="5">
                    <c:v>0.35560202962190363</c:v>
                  </c:pt>
                  <c:pt idx="6">
                    <c:v>0.17070432739483984</c:v>
                  </c:pt>
                  <c:pt idx="7">
                    <c:v>0.16815651684723767</c:v>
                  </c:pt>
                  <c:pt idx="8">
                    <c:v>0.1701653884223866</c:v>
                  </c:pt>
                  <c:pt idx="9">
                    <c:v>0.86311676326106934</c:v>
                  </c:pt>
                  <c:pt idx="12">
                    <c:v>0.92417205052731077</c:v>
                  </c:pt>
                  <c:pt idx="13">
                    <c:v>0.9518021201413428</c:v>
                  </c:pt>
                  <c:pt idx="14">
                    <c:v>0.68325936025688139</c:v>
                  </c:pt>
                  <c:pt idx="15">
                    <c:v>0.68644240570846093</c:v>
                  </c:pt>
                  <c:pt idx="17">
                    <c:v>1.6652986925578288</c:v>
                  </c:pt>
                  <c:pt idx="18">
                    <c:v>1.6354000000000002</c:v>
                  </c:pt>
                  <c:pt idx="19">
                    <c:v>1.3376770814159582</c:v>
                  </c:pt>
                  <c:pt idx="20">
                    <c:v>1.2155234657039715</c:v>
                  </c:pt>
                  <c:pt idx="23">
                    <c:v>0.28899815745378488</c:v>
                  </c:pt>
                  <c:pt idx="25">
                    <c:v>0.36129749108765208</c:v>
                  </c:pt>
                  <c:pt idx="26">
                    <c:v>0.46489531422072827</c:v>
                  </c:pt>
                  <c:pt idx="27">
                    <c:v>0.29793789307879998</c:v>
                  </c:pt>
                  <c:pt idx="28">
                    <c:v>7.1448275862068967E-3</c:v>
                  </c:pt>
                  <c:pt idx="29">
                    <c:v>0</c:v>
                  </c:pt>
                  <c:pt idx="30">
                    <c:v>8.619157088122607E-3</c:v>
                  </c:pt>
                  <c:pt idx="31">
                    <c:v>0.64257916221855271</c:v>
                  </c:pt>
                  <c:pt idx="34">
                    <c:v>0.40031691847548456</c:v>
                  </c:pt>
                  <c:pt idx="35">
                    <c:v>0.22770210286958875</c:v>
                  </c:pt>
                  <c:pt idx="36">
                    <c:v>2.5500831975581639</c:v>
                  </c:pt>
                  <c:pt idx="37">
                    <c:v>0.10380947994344818</c:v>
                  </c:pt>
                  <c:pt idx="38">
                    <c:v>5.747870953957377E-2</c:v>
                  </c:pt>
                  <c:pt idx="40">
                    <c:v>0.24700960671255559</c:v>
                  </c:pt>
                  <c:pt idx="41">
                    <c:v>5.485734017964667E-2</c:v>
                  </c:pt>
                  <c:pt idx="42">
                    <c:v>3.3198620000000005E-2</c:v>
                  </c:pt>
                </c:numCache>
              </c:numRef>
            </c:plus>
            <c:minus>
              <c:numRef>
                <c:f>'total(chart)'!$F$38:$F$80</c:f>
                <c:numCache>
                  <c:formatCode>General</c:formatCode>
                  <c:ptCount val="43"/>
                  <c:pt idx="0">
                    <c:v>0.16924569859900968</c:v>
                  </c:pt>
                  <c:pt idx="1">
                    <c:v>0.15292979658824402</c:v>
                  </c:pt>
                  <c:pt idx="4">
                    <c:v>0.16796176132874041</c:v>
                  </c:pt>
                  <c:pt idx="5">
                    <c:v>0.35560202962190363</c:v>
                  </c:pt>
                  <c:pt idx="6">
                    <c:v>0.17070432739483984</c:v>
                  </c:pt>
                  <c:pt idx="7">
                    <c:v>0.16815651684723767</c:v>
                  </c:pt>
                  <c:pt idx="8">
                    <c:v>0.17016538842238663</c:v>
                  </c:pt>
                  <c:pt idx="9">
                    <c:v>0.86311676326106934</c:v>
                  </c:pt>
                  <c:pt idx="12">
                    <c:v>1.3092437382470234</c:v>
                  </c:pt>
                  <c:pt idx="13">
                    <c:v>1.348386336866902</c:v>
                  </c:pt>
                  <c:pt idx="14">
                    <c:v>1.0851766309962232</c:v>
                  </c:pt>
                  <c:pt idx="15">
                    <c:v>1.0902320561252026</c:v>
                  </c:pt>
                  <c:pt idx="17">
                    <c:v>2.2203982567437719</c:v>
                  </c:pt>
                  <c:pt idx="18">
                    <c:v>2.1805333333333334</c:v>
                  </c:pt>
                  <c:pt idx="19">
                    <c:v>1.8950425320059405</c:v>
                  </c:pt>
                  <c:pt idx="20">
                    <c:v>1.7219915764139593</c:v>
                  </c:pt>
                  <c:pt idx="23">
                    <c:v>0.28899815745378482</c:v>
                  </c:pt>
                  <c:pt idx="25">
                    <c:v>0.36129749108765208</c:v>
                  </c:pt>
                  <c:pt idx="26">
                    <c:v>0.46489531422072822</c:v>
                  </c:pt>
                  <c:pt idx="27">
                    <c:v>0.29793789307879998</c:v>
                  </c:pt>
                  <c:pt idx="28">
                    <c:v>7.1448275862068967E-3</c:v>
                  </c:pt>
                  <c:pt idx="29">
                    <c:v>0</c:v>
                  </c:pt>
                  <c:pt idx="30">
                    <c:v>8.6191570881226053E-3</c:v>
                  </c:pt>
                  <c:pt idx="31">
                    <c:v>0.64257916221855271</c:v>
                  </c:pt>
                  <c:pt idx="34">
                    <c:v>0.90071306656984018</c:v>
                  </c:pt>
                  <c:pt idx="35">
                    <c:v>0.51232973145657468</c:v>
                  </c:pt>
                  <c:pt idx="36">
                    <c:v>0.42501386625969406</c:v>
                  </c:pt>
                  <c:pt idx="37">
                    <c:v>0.10380947994344818</c:v>
                  </c:pt>
                  <c:pt idx="38">
                    <c:v>5.7478709539573763E-2</c:v>
                  </c:pt>
                  <c:pt idx="40">
                    <c:v>0.95275134017700003</c:v>
                  </c:pt>
                  <c:pt idx="41">
                    <c:v>5.4857340179646663E-2</c:v>
                  </c:pt>
                  <c:pt idx="42">
                    <c:v>3.3198620000000005E-2</c:v>
                  </c:pt>
                </c:numCache>
              </c:numRef>
            </c:minus>
          </c:errBars>
          <c:cat>
            <c:strRef>
              <c:f>'total(chart)'!$C$38:$C$80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'total(chart)'!$D$38:$D$80</c:f>
              <c:numCache>
                <c:formatCode>0.0_ </c:formatCode>
                <c:ptCount val="43"/>
                <c:pt idx="0">
                  <c:v>3.2156682733811834</c:v>
                </c:pt>
                <c:pt idx="1">
                  <c:v>2.9056661351766362</c:v>
                </c:pt>
                <c:pt idx="4">
                  <c:v>3.1912734652460677</c:v>
                </c:pt>
                <c:pt idx="5">
                  <c:v>3.2004182665971324</c:v>
                </c:pt>
                <c:pt idx="6">
                  <c:v>3.2433822205019567</c:v>
                </c:pt>
                <c:pt idx="7">
                  <c:v>3.1949738200975157</c:v>
                </c:pt>
                <c:pt idx="8">
                  <c:v>3.2331423800253454</c:v>
                </c:pt>
                <c:pt idx="9">
                  <c:v>4.8909949918127262</c:v>
                </c:pt>
                <c:pt idx="12">
                  <c:v>5.2369749529880938</c:v>
                </c:pt>
                <c:pt idx="13">
                  <c:v>5.3935453474676089</c:v>
                </c:pt>
                <c:pt idx="14">
                  <c:v>6.1493342423119319</c:v>
                </c:pt>
                <c:pt idx="15">
                  <c:v>6.1779816513761476</c:v>
                </c:pt>
                <c:pt idx="17">
                  <c:v>6.6611947702313152</c:v>
                </c:pt>
                <c:pt idx="18">
                  <c:v>6.5416000000000007</c:v>
                </c:pt>
                <c:pt idx="19">
                  <c:v>7.5801701280237612</c:v>
                </c:pt>
                <c:pt idx="20">
                  <c:v>6.8879663056558371</c:v>
                </c:pt>
                <c:pt idx="23">
                  <c:v>2.6009834170840636</c:v>
                </c:pt>
                <c:pt idx="25">
                  <c:v>3.2516774197888685</c:v>
                </c:pt>
                <c:pt idx="26">
                  <c:v>4.1840578279865541</c:v>
                </c:pt>
                <c:pt idx="27">
                  <c:v>2.6814410377091997</c:v>
                </c:pt>
                <c:pt idx="28">
                  <c:v>6.4303448275862068E-2</c:v>
                </c:pt>
                <c:pt idx="29">
                  <c:v>0</c:v>
                </c:pt>
                <c:pt idx="30">
                  <c:v>7.7572413793103451E-2</c:v>
                </c:pt>
                <c:pt idx="31">
                  <c:v>3.6412819192384651</c:v>
                </c:pt>
                <c:pt idx="34">
                  <c:v>3.6028522662793607</c:v>
                </c:pt>
                <c:pt idx="35">
                  <c:v>2.0493189258262987</c:v>
                </c:pt>
                <c:pt idx="36">
                  <c:v>1.7000554650387762</c:v>
                </c:pt>
                <c:pt idx="37">
                  <c:v>0.93428531949103355</c:v>
                </c:pt>
                <c:pt idx="38">
                  <c:v>0.5173083858561639</c:v>
                </c:pt>
                <c:pt idx="40">
                  <c:v>2.2230864604130001</c:v>
                </c:pt>
                <c:pt idx="41">
                  <c:v>0.49371606161681997</c:v>
                </c:pt>
                <c:pt idx="42">
                  <c:v>0.13279448000000002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97232"/>
        <c:axId val="-1126881456"/>
      </c:barChart>
      <c:catAx>
        <c:axId val="-112689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/>
            </a:pPr>
            <a:endParaRPr lang="zh-CN"/>
          </a:p>
        </c:txPr>
        <c:crossAx val="-1126881456"/>
        <c:crosses val="autoZero"/>
        <c:auto val="1"/>
        <c:lblAlgn val="ctr"/>
        <c:lblOffset val="100"/>
        <c:noMultiLvlLbl val="0"/>
      </c:catAx>
      <c:valAx>
        <c:axId val="-1126881456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689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'total(chart)'!$G$36:$G$37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3.0932030932030931E-2"/>
                  <c:y val="2.7100271002710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353227053311337E-3"/>
                  <c:y val="8.13011031439134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7308754640044392E-3"/>
                  <c:y val="-1.00534535805232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5816035816035818E-2"/>
                  <c:y val="-5.42005420054200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'total(chart)'!$H$38:$H$80</c:f>
                <c:numCache>
                  <c:formatCode>General</c:formatCode>
                  <c:ptCount val="43"/>
                  <c:pt idx="0">
                    <c:v>12.204848643748933</c:v>
                  </c:pt>
                  <c:pt idx="1">
                    <c:v>11.350815935349255</c:v>
                  </c:pt>
                  <c:pt idx="4">
                    <c:v>11.984105263157897</c:v>
                  </c:pt>
                  <c:pt idx="5">
                    <c:v>21.54619577967895</c:v>
                  </c:pt>
                  <c:pt idx="6">
                    <c:v>10.113374006310238</c:v>
                  </c:pt>
                  <c:pt idx="7">
                    <c:v>10.487060355643314</c:v>
                  </c:pt>
                  <c:pt idx="8">
                    <c:v>10.6201499323744</c:v>
                  </c:pt>
                  <c:pt idx="9">
                    <c:v>86.587343948643692</c:v>
                  </c:pt>
                  <c:pt idx="12">
                    <c:v>107.72186387828356</c:v>
                  </c:pt>
                  <c:pt idx="13">
                    <c:v>110.868576</c:v>
                  </c:pt>
                  <c:pt idx="14">
                    <c:v>51.604573856171754</c:v>
                  </c:pt>
                  <c:pt idx="15">
                    <c:v>73.800150666666681</c:v>
                  </c:pt>
                  <c:pt idx="17">
                    <c:v>100.87513524195195</c:v>
                  </c:pt>
                  <c:pt idx="18">
                    <c:v>111.50157200000002</c:v>
                  </c:pt>
                  <c:pt idx="19">
                    <c:v>60.732948247854381</c:v>
                  </c:pt>
                  <c:pt idx="20">
                    <c:v>101.53525200000003</c:v>
                  </c:pt>
                  <c:pt idx="23">
                    <c:v>25.567114417444536</c:v>
                  </c:pt>
                  <c:pt idx="25">
                    <c:v>32.83876680198258</c:v>
                  </c:pt>
                  <c:pt idx="26">
                    <c:v>35.231386107640397</c:v>
                  </c:pt>
                  <c:pt idx="27">
                    <c:v>17.74343847066022</c:v>
                  </c:pt>
                  <c:pt idx="28">
                    <c:v>0.7371647509578545</c:v>
                  </c:pt>
                  <c:pt idx="29">
                    <c:v>0</c:v>
                  </c:pt>
                  <c:pt idx="30">
                    <c:v>0.65777777777777779</c:v>
                  </c:pt>
                  <c:pt idx="31">
                    <c:v>16.95074989262552</c:v>
                  </c:pt>
                  <c:pt idx="34">
                    <c:v>54.80662900285315</c:v>
                  </c:pt>
                  <c:pt idx="35">
                    <c:v>24.976120589621662</c:v>
                  </c:pt>
                  <c:pt idx="36">
                    <c:v>240.40431506392642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43.875142654276004</c:v>
                  </c:pt>
                  <c:pt idx="41">
                    <c:v>4.5039901704621794</c:v>
                  </c:pt>
                  <c:pt idx="42">
                    <c:v>4.1441035999999976</c:v>
                  </c:pt>
                </c:numCache>
              </c:numRef>
            </c:plus>
            <c:minus>
              <c:numRef>
                <c:f>'total(chart)'!$I$38:$I$80</c:f>
                <c:numCache>
                  <c:formatCode>General</c:formatCode>
                  <c:ptCount val="43"/>
                  <c:pt idx="0">
                    <c:v>12.204848643748935</c:v>
                  </c:pt>
                  <c:pt idx="1">
                    <c:v>11.350815935349257</c:v>
                  </c:pt>
                  <c:pt idx="4">
                    <c:v>11.984105263157897</c:v>
                  </c:pt>
                  <c:pt idx="5">
                    <c:v>21.54619577967895</c:v>
                  </c:pt>
                  <c:pt idx="6">
                    <c:v>10.11337400631024</c:v>
                  </c:pt>
                  <c:pt idx="7">
                    <c:v>10.487060355643314</c:v>
                  </c:pt>
                  <c:pt idx="8">
                    <c:v>10.6201499323744</c:v>
                  </c:pt>
                  <c:pt idx="9">
                    <c:v>86.587343948643692</c:v>
                  </c:pt>
                  <c:pt idx="12">
                    <c:v>152.60597382756836</c:v>
                  </c:pt>
                  <c:pt idx="13">
                    <c:v>157.063816</c:v>
                  </c:pt>
                  <c:pt idx="14">
                    <c:v>81.960205536272781</c:v>
                  </c:pt>
                  <c:pt idx="15">
                    <c:v>117.21200400000002</c:v>
                  </c:pt>
                  <c:pt idx="17">
                    <c:v>134.5001803226026</c:v>
                  </c:pt>
                  <c:pt idx="18">
                    <c:v>148.66876266666671</c:v>
                  </c:pt>
                  <c:pt idx="19">
                    <c:v>86.038343351127025</c:v>
                  </c:pt>
                  <c:pt idx="20">
                    <c:v>143.84160700000001</c:v>
                  </c:pt>
                  <c:pt idx="23">
                    <c:v>25.567114417444536</c:v>
                  </c:pt>
                  <c:pt idx="25">
                    <c:v>32.83876680198258</c:v>
                  </c:pt>
                  <c:pt idx="26">
                    <c:v>35.231386107640397</c:v>
                  </c:pt>
                  <c:pt idx="27">
                    <c:v>17.74343847066022</c:v>
                  </c:pt>
                  <c:pt idx="28">
                    <c:v>0.73716475095785439</c:v>
                  </c:pt>
                  <c:pt idx="29">
                    <c:v>0</c:v>
                  </c:pt>
                  <c:pt idx="30">
                    <c:v>0.65777777777777768</c:v>
                  </c:pt>
                  <c:pt idx="31">
                    <c:v>16.950749892625517</c:v>
                  </c:pt>
                  <c:pt idx="34">
                    <c:v>123.31491525641958</c:v>
                  </c:pt>
                  <c:pt idx="35">
                    <c:v>56.196271326648741</c:v>
                  </c:pt>
                  <c:pt idx="36">
                    <c:v>40.067385843987736</c:v>
                  </c:pt>
                  <c:pt idx="37">
                    <c:v>-8.8590897650860665</c:v>
                  </c:pt>
                  <c:pt idx="38">
                    <c:v>1.0574951269771091</c:v>
                  </c:pt>
                  <c:pt idx="40">
                    <c:v>169.23269309506458</c:v>
                  </c:pt>
                  <c:pt idx="41">
                    <c:v>4.5039901704621785</c:v>
                  </c:pt>
                  <c:pt idx="42">
                    <c:v>4.1441035999999976</c:v>
                  </c:pt>
                </c:numCache>
              </c:numRef>
            </c:minus>
          </c:errBars>
          <c:cat>
            <c:strRef>
              <c:f>'total(chart)'!$C$38:$C$80</c:f>
              <c:strCache>
                <c:ptCount val="43"/>
                <c:pt idx="0">
                  <c:v>汽油车</c:v>
                </c:pt>
                <c:pt idx="1">
                  <c:v>柴油车</c:v>
                </c:pt>
                <c:pt idx="4">
                  <c:v>LPG车</c:v>
                </c:pt>
                <c:pt idx="5">
                  <c:v>CNG车</c:v>
                </c:pt>
                <c:pt idx="6">
                  <c:v>LNG车(海外进口)</c:v>
                </c:pt>
                <c:pt idx="7">
                  <c:v>LNG车(井口液化)</c:v>
                </c:pt>
                <c:pt idx="8">
                  <c:v>LNG车(管道气液化)</c:v>
                </c:pt>
                <c:pt idx="9">
                  <c:v>GTL车</c:v>
                </c:pt>
                <c:pt idx="12">
                  <c:v>甲醇（煤基）汽车</c:v>
                </c:pt>
                <c:pt idx="13">
                  <c:v>DME（煤基）汽车</c:v>
                </c:pt>
                <c:pt idx="14">
                  <c:v>CTL（煤基）汽车</c:v>
                </c:pt>
                <c:pt idx="15">
                  <c:v>ICTL（煤基）汽车</c:v>
                </c:pt>
                <c:pt idx="17">
                  <c:v>甲醇（煤基+CCS）汽车</c:v>
                </c:pt>
                <c:pt idx="18">
                  <c:v>DME（煤基+CCS）汽车</c:v>
                </c:pt>
                <c:pt idx="19">
                  <c:v>CTL（煤基+CCS）汽车</c:v>
                </c:pt>
                <c:pt idx="20">
                  <c:v>ICTL（煤基+CCS）汽车</c:v>
                </c:pt>
                <c:pt idx="23">
                  <c:v>纯电动汽车（网电）</c:v>
                </c:pt>
                <c:pt idx="25">
                  <c:v>纯电动汽车（煤电）</c:v>
                </c:pt>
                <c:pt idx="26">
                  <c:v>纯电动汽车（油电）</c:v>
                </c:pt>
                <c:pt idx="27">
                  <c:v>纯电动汽车（气电）</c:v>
                </c:pt>
                <c:pt idx="28">
                  <c:v>纯电动汽车（核电）</c:v>
                </c:pt>
                <c:pt idx="29">
                  <c:v>纯电动汽车（大水电）</c:v>
                </c:pt>
                <c:pt idx="30">
                  <c:v>纯电动汽车（生物质电）</c:v>
                </c:pt>
                <c:pt idx="31">
                  <c:v>纯电动汽车（煤电IGCC+CCS）</c:v>
                </c:pt>
                <c:pt idx="34">
                  <c:v>玉米乙醇汽车</c:v>
                </c:pt>
                <c:pt idx="35">
                  <c:v>木薯乙醇汽车</c:v>
                </c:pt>
                <c:pt idx="36">
                  <c:v>甜高粱乙醇汽车</c:v>
                </c:pt>
                <c:pt idx="37">
                  <c:v>木本二代生物燃料汽车</c:v>
                </c:pt>
                <c:pt idx="38">
                  <c:v>草本二代生物燃料汽车</c:v>
                </c:pt>
                <c:pt idx="40">
                  <c:v>废弃油生物柴油汽车</c:v>
                </c:pt>
                <c:pt idx="41">
                  <c:v>小桐子生物柴油汽车</c:v>
                </c:pt>
                <c:pt idx="42">
                  <c:v>费托生物柴油汽车</c:v>
                </c:pt>
              </c:strCache>
            </c:strRef>
          </c:cat>
          <c:val>
            <c:numRef>
              <c:f>'total(chart)'!$G$38:$G$80</c:f>
              <c:numCache>
                <c:formatCode>0_ </c:formatCode>
                <c:ptCount val="43"/>
                <c:pt idx="0">
                  <c:v>231.89212423122973</c:v>
                </c:pt>
                <c:pt idx="1">
                  <c:v>215.66550277163583</c:v>
                </c:pt>
                <c:pt idx="4">
                  <c:v>227.69800000000001</c:v>
                </c:pt>
                <c:pt idx="5">
                  <c:v>193.91576201711052</c:v>
                </c:pt>
                <c:pt idx="6">
                  <c:v>192.15410611989452</c:v>
                </c:pt>
                <c:pt idx="7">
                  <c:v>199.25414675722294</c:v>
                </c:pt>
                <c:pt idx="8">
                  <c:v>201.78284871511357</c:v>
                </c:pt>
                <c:pt idx="9">
                  <c:v>490.66161570898089</c:v>
                </c:pt>
                <c:pt idx="12">
                  <c:v>610.42389531027345</c:v>
                </c:pt>
                <c:pt idx="13">
                  <c:v>628.25526400000001</c:v>
                </c:pt>
                <c:pt idx="14">
                  <c:v>464.44116470554576</c:v>
                </c:pt>
                <c:pt idx="15">
                  <c:v>664.20135600000015</c:v>
                </c:pt>
                <c:pt idx="17">
                  <c:v>403.50054096780781</c:v>
                </c:pt>
                <c:pt idx="18">
                  <c:v>446.0062880000001</c:v>
                </c:pt>
                <c:pt idx="19">
                  <c:v>344.1533734045081</c:v>
                </c:pt>
                <c:pt idx="20">
                  <c:v>575.36642800000004</c:v>
                </c:pt>
                <c:pt idx="23">
                  <c:v>230.1040297570008</c:v>
                </c:pt>
                <c:pt idx="25">
                  <c:v>295.54890121784319</c:v>
                </c:pt>
                <c:pt idx="26">
                  <c:v>317.08247496876356</c:v>
                </c:pt>
                <c:pt idx="27">
                  <c:v>159.69094623594196</c:v>
                </c:pt>
                <c:pt idx="28">
                  <c:v>6.63448275862069</c:v>
                </c:pt>
                <c:pt idx="29">
                  <c:v>5.1034482758620694</c:v>
                </c:pt>
                <c:pt idx="30">
                  <c:v>5.92</c:v>
                </c:pt>
                <c:pt idx="31">
                  <c:v>96.054249391544602</c:v>
                </c:pt>
                <c:pt idx="34">
                  <c:v>493.25966102567833</c:v>
                </c:pt>
                <c:pt idx="35">
                  <c:v>224.78508530659494</c:v>
                </c:pt>
                <c:pt idx="36">
                  <c:v>160.26954337595097</c:v>
                </c:pt>
                <c:pt idx="37">
                  <c:v>79.7318078857746</c:v>
                </c:pt>
                <c:pt idx="38">
                  <c:v>9.5174561427939821</c:v>
                </c:pt>
                <c:pt idx="40">
                  <c:v>394.87628388848401</c:v>
                </c:pt>
                <c:pt idx="41">
                  <c:v>40.535911534159609</c:v>
                </c:pt>
                <c:pt idx="42">
                  <c:v>16.57641439999999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97776"/>
        <c:axId val="-1126904848"/>
      </c:barChart>
      <c:catAx>
        <c:axId val="-112689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904848"/>
        <c:crossesAt val="0"/>
        <c:auto val="1"/>
        <c:lblAlgn val="ctr"/>
        <c:lblOffset val="100"/>
        <c:noMultiLvlLbl val="0"/>
      </c:catAx>
      <c:valAx>
        <c:axId val="-1126904848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6897776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'total(chart)'!$D$5:$D$6</c:f>
              <c:strCache>
                <c:ptCount val="2"/>
                <c:pt idx="0">
                  <c:v>WTW fossil energy use</c:v>
                </c:pt>
                <c:pt idx="1">
                  <c:v>(MJ/km)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7.5444944640119692E-17"/>
                  <c:y val="-9.45626477541374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9.7618489457644408E-3"/>
                  <c:y val="7.07561835222193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0806293696650759E-4"/>
                  <c:y val="6.30402004094349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'total(chart)'!$E$7:$E$15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</c:v>
                  </c:pt>
                  <c:pt idx="8">
                    <c:v>0.86311676326106934</c:v>
                  </c:pt>
                </c:numCache>
              </c:numRef>
            </c:plus>
            <c:minus>
              <c:numRef>
                <c:f>'total(chart)'!$F$7:$F$15</c:f>
                <c:numCache>
                  <c:formatCode>General</c:formatCode>
                  <c:ptCount val="9"/>
                  <c:pt idx="0">
                    <c:v>0.16924569859900968</c:v>
                  </c:pt>
                  <c:pt idx="1">
                    <c:v>0.15292979658824402</c:v>
                  </c:pt>
                  <c:pt idx="3">
                    <c:v>0.16796176132874041</c:v>
                  </c:pt>
                  <c:pt idx="4">
                    <c:v>0.35560202962190363</c:v>
                  </c:pt>
                  <c:pt idx="5">
                    <c:v>0.17070432739483984</c:v>
                  </c:pt>
                  <c:pt idx="6">
                    <c:v>0.16815651684723767</c:v>
                  </c:pt>
                  <c:pt idx="7">
                    <c:v>0.17016538842238663</c:v>
                  </c:pt>
                  <c:pt idx="8">
                    <c:v>0.86311676326106934</c:v>
                  </c:pt>
                </c:numCache>
              </c:numRef>
            </c:minus>
          </c:errBars>
          <c:cat>
            <c:strRef>
              <c:f>'total(chart)'!$C$7:$C$15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'total(chart)'!$D$7:$D$15</c:f>
              <c:numCache>
                <c:formatCode>0.0</c:formatCode>
                <c:ptCount val="9"/>
                <c:pt idx="0">
                  <c:v>3.2156682733811834</c:v>
                </c:pt>
                <c:pt idx="1">
                  <c:v>2.9056661351766362</c:v>
                </c:pt>
                <c:pt idx="3">
                  <c:v>3.1912734652460677</c:v>
                </c:pt>
                <c:pt idx="4">
                  <c:v>3.2004182665971324</c:v>
                </c:pt>
                <c:pt idx="5">
                  <c:v>3.2433822205019567</c:v>
                </c:pt>
                <c:pt idx="6">
                  <c:v>3.1949738200975157</c:v>
                </c:pt>
                <c:pt idx="7">
                  <c:v>3.2331423800253454</c:v>
                </c:pt>
                <c:pt idx="8">
                  <c:v>4.8909949918127262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907024"/>
        <c:axId val="-1126902672"/>
      </c:barChart>
      <c:catAx>
        <c:axId val="-112690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902672"/>
        <c:crosses val="autoZero"/>
        <c:auto val="1"/>
        <c:lblAlgn val="ctr"/>
        <c:lblOffset val="100"/>
        <c:noMultiLvlLbl val="0"/>
      </c:catAx>
      <c:valAx>
        <c:axId val="-1126902672"/>
        <c:scaling>
          <c:orientation val="minMax"/>
        </c:scaling>
        <c:delete val="0"/>
        <c:axPos val="l"/>
        <c:majorGridlines/>
        <c:numFmt formatCode="0.0_ " sourceLinked="0"/>
        <c:majorTickMark val="out"/>
        <c:minorTickMark val="none"/>
        <c:tickLblPos val="nextTo"/>
        <c:crossAx val="-112690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'total(chart)'!$G$5:$G$6</c:f>
              <c:strCache>
                <c:ptCount val="2"/>
                <c:pt idx="0">
                  <c:v>WTW GHG emission</c:v>
                </c:pt>
                <c:pt idx="1">
                  <c:v>(g CO2e/km)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0768428587104202E-3"/>
                  <c:y val="-2.0512820512820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15002512779475E-17"/>
                  <c:y val="-3.0769230769230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7259978425026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'total(chart)'!$H$7:$H$15</c:f>
                <c:numCache>
                  <c:formatCode>General</c:formatCode>
                  <c:ptCount val="9"/>
                  <c:pt idx="0">
                    <c:v>12.204848643748933</c:v>
                  </c:pt>
                  <c:pt idx="1">
                    <c:v>11.350815935349255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10.113374006310238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plus>
            <c:minus>
              <c:numRef>
                <c:f>'total(chart)'!$I$7:$I$15</c:f>
                <c:numCache>
                  <c:formatCode>General</c:formatCode>
                  <c:ptCount val="9"/>
                  <c:pt idx="0">
                    <c:v>12.204848643748935</c:v>
                  </c:pt>
                  <c:pt idx="1">
                    <c:v>11.350815935349257</c:v>
                  </c:pt>
                  <c:pt idx="3">
                    <c:v>11.984105263157897</c:v>
                  </c:pt>
                  <c:pt idx="4">
                    <c:v>21.54619577967895</c:v>
                  </c:pt>
                  <c:pt idx="5">
                    <c:v>10.11337400631024</c:v>
                  </c:pt>
                  <c:pt idx="6">
                    <c:v>10.487060355643314</c:v>
                  </c:pt>
                  <c:pt idx="7">
                    <c:v>10.6201499323744</c:v>
                  </c:pt>
                  <c:pt idx="8">
                    <c:v>86.587343948643692</c:v>
                  </c:pt>
                </c:numCache>
              </c:numRef>
            </c:minus>
          </c:errBars>
          <c:cat>
            <c:strRef>
              <c:f>'total(chart)'!$C$7:$C$15</c:f>
              <c:strCache>
                <c:ptCount val="9"/>
                <c:pt idx="0">
                  <c:v>汽油车</c:v>
                </c:pt>
                <c:pt idx="1">
                  <c:v>柴油车</c:v>
                </c:pt>
                <c:pt idx="3">
                  <c:v>LPG车</c:v>
                </c:pt>
                <c:pt idx="4">
                  <c:v>CNG车</c:v>
                </c:pt>
                <c:pt idx="5">
                  <c:v>LNG车(海外进口)</c:v>
                </c:pt>
                <c:pt idx="6">
                  <c:v>LNG车(井口液化)</c:v>
                </c:pt>
                <c:pt idx="7">
                  <c:v>LNG车(管道气液化)</c:v>
                </c:pt>
                <c:pt idx="8">
                  <c:v>GTL车</c:v>
                </c:pt>
              </c:strCache>
            </c:strRef>
          </c:cat>
          <c:val>
            <c:numRef>
              <c:f>'total(chart)'!$G$7:$G$15</c:f>
              <c:numCache>
                <c:formatCode>0.0</c:formatCode>
                <c:ptCount val="9"/>
                <c:pt idx="0">
                  <c:v>231.89212423122973</c:v>
                </c:pt>
                <c:pt idx="1">
                  <c:v>215.66550277163583</c:v>
                </c:pt>
                <c:pt idx="3">
                  <c:v>227.69800000000001</c:v>
                </c:pt>
                <c:pt idx="4">
                  <c:v>193.91576201711052</c:v>
                </c:pt>
                <c:pt idx="5">
                  <c:v>192.15410611989452</c:v>
                </c:pt>
                <c:pt idx="6">
                  <c:v>199.25414675722294</c:v>
                </c:pt>
                <c:pt idx="7">
                  <c:v>201.78284871511357</c:v>
                </c:pt>
                <c:pt idx="8">
                  <c:v>490.66161570898089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85264"/>
        <c:axId val="-1126884720"/>
      </c:barChart>
      <c:catAx>
        <c:axId val="-11268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-1126884720"/>
        <c:crosses val="autoZero"/>
        <c:auto val="1"/>
        <c:lblAlgn val="ctr"/>
        <c:lblOffset val="100"/>
        <c:noMultiLvlLbl val="0"/>
      </c:catAx>
      <c:valAx>
        <c:axId val="-1126884720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-112688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Life cycle</a:t>
            </a:r>
            <a:r>
              <a:rPr lang="en-US" altLang="zh-CN" baseline="0"/>
              <a:t> fossil energy consumption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439829658780711E-2"/>
          <c:y val="9.0740904841046077E-2"/>
          <c:w val="0.80314177189431235"/>
          <c:h val="0.729630949130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WTPs!$B$2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WTPs!$B$5:$B$33</c:f>
              <c:numCache>
                <c:formatCode>0.00_ </c:formatCode>
                <c:ptCount val="29"/>
                <c:pt idx="0">
                  <c:v>7.4260045413688622E-2</c:v>
                </c:pt>
                <c:pt idx="1">
                  <c:v>7.2286083298277556E-2</c:v>
                </c:pt>
                <c:pt idx="2">
                  <c:v>8.0233746761710939E-2</c:v>
                </c:pt>
                <c:pt idx="3">
                  <c:v>1.6573263318956328E-2</c:v>
                </c:pt>
                <c:pt idx="4">
                  <c:v>9.3004387641140621E-2</c:v>
                </c:pt>
                <c:pt idx="5">
                  <c:v>2.6376538521150565</c:v>
                </c:pt>
                <c:pt idx="6">
                  <c:v>2.1779343014168115</c:v>
                </c:pt>
                <c:pt idx="7">
                  <c:v>3.2624820376027537</c:v>
                </c:pt>
                <c:pt idx="8">
                  <c:v>2.5963910128217091</c:v>
                </c:pt>
                <c:pt idx="10">
                  <c:v>2.4073229729246317</c:v>
                </c:pt>
                <c:pt idx="11">
                  <c:v>3.0885094322849036</c:v>
                </c:pt>
                <c:pt idx="12">
                  <c:v>2.0511011540665178</c:v>
                </c:pt>
                <c:pt idx="14">
                  <c:v>0.17614814191695108</c:v>
                </c:pt>
                <c:pt idx="15">
                  <c:v>0.27751534497256325</c:v>
                </c:pt>
                <c:pt idx="16">
                  <c:v>0.51250313381838575</c:v>
                </c:pt>
                <c:pt idx="18">
                  <c:v>3.1937846406119483</c:v>
                </c:pt>
                <c:pt idx="19">
                  <c:v>4.3697023713679073</c:v>
                </c:pt>
                <c:pt idx="21">
                  <c:v>2.5284128404844592</c:v>
                </c:pt>
                <c:pt idx="22">
                  <c:v>3.2255463186977589</c:v>
                </c:pt>
                <c:pt idx="23">
                  <c:v>2.8538521169824591</c:v>
                </c:pt>
                <c:pt idx="24">
                  <c:v>3.5297202596381525</c:v>
                </c:pt>
                <c:pt idx="26">
                  <c:v>2.1113621639476858</c:v>
                </c:pt>
                <c:pt idx="27">
                  <c:v>2.1113621639476858</c:v>
                </c:pt>
                <c:pt idx="28">
                  <c:v>2.116003544093993</c:v>
                </c:pt>
              </c:numCache>
            </c:numRef>
          </c:val>
        </c:ser>
        <c:ser>
          <c:idx val="1"/>
          <c:order val="1"/>
          <c:tx>
            <c:strRef>
              <c:f>WTPs!$C$2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WTPs!$C$5:$C$33</c:f>
              <c:numCache>
                <c:formatCode>0.00_ </c:formatCode>
                <c:ptCount val="29"/>
                <c:pt idx="0">
                  <c:v>5.0176246572035947E-2</c:v>
                </c:pt>
                <c:pt idx="1">
                  <c:v>4.9578985063534531E-2</c:v>
                </c:pt>
                <c:pt idx="2">
                  <c:v>1.1236802529092145</c:v>
                </c:pt>
                <c:pt idx="3">
                  <c:v>1.2286916117785331</c:v>
                </c:pt>
                <c:pt idx="4">
                  <c:v>3.1059880069929036</c:v>
                </c:pt>
                <c:pt idx="5">
                  <c:v>7.051317584928548E-3</c:v>
                </c:pt>
                <c:pt idx="6">
                  <c:v>5.8818771376935326E-3</c:v>
                </c:pt>
                <c:pt idx="7">
                  <c:v>9.3859992053064358E-3</c:v>
                </c:pt>
                <c:pt idx="8">
                  <c:v>1.4444690369418353E-2</c:v>
                </c:pt>
                <c:pt idx="10">
                  <c:v>0.18717839215522458</c:v>
                </c:pt>
                <c:pt idx="11">
                  <c:v>7.856589623597832E-3</c:v>
                </c:pt>
                <c:pt idx="12">
                  <c:v>5.4610033217740725E-3</c:v>
                </c:pt>
                <c:pt idx="14">
                  <c:v>1.382089071127437E-3</c:v>
                </c:pt>
                <c:pt idx="15">
                  <c:v>2.1774338416670536E-3</c:v>
                </c:pt>
                <c:pt idx="16">
                  <c:v>4.0211890540571733E-3</c:v>
                </c:pt>
                <c:pt idx="18">
                  <c:v>8.1243900391374402E-3</c:v>
                </c:pt>
                <c:pt idx="19">
                  <c:v>1.2538981150309386E-2</c:v>
                </c:pt>
                <c:pt idx="21">
                  <c:v>6.4318087809838069E-3</c:v>
                </c:pt>
                <c:pt idx="22">
                  <c:v>9.2557938853258699E-3</c:v>
                </c:pt>
                <c:pt idx="23">
                  <c:v>7.2596653567540007E-3</c:v>
                </c:pt>
                <c:pt idx="24">
                  <c:v>1.0077743889975115E-2</c:v>
                </c:pt>
                <c:pt idx="26">
                  <c:v>5.3709099591954731E-3</c:v>
                </c:pt>
                <c:pt idx="27">
                  <c:v>5.3709099591954731E-3</c:v>
                </c:pt>
                <c:pt idx="28">
                  <c:v>5.7317946775893146E-3</c:v>
                </c:pt>
              </c:numCache>
            </c:numRef>
          </c:val>
        </c:ser>
        <c:ser>
          <c:idx val="2"/>
          <c:order val="2"/>
          <c:tx>
            <c:strRef>
              <c:f>WTPs!$D$2</c:f>
              <c:strCache>
                <c:ptCount val="1"/>
                <c:pt idx="0">
                  <c:v>petroluem</c:v>
                </c:pt>
              </c:strCache>
            </c:strRef>
          </c:tx>
          <c:invertIfNegative val="0"/>
          <c:cat>
            <c:strRef>
              <c:f>WTPs!$A$5:$A$33</c:f>
              <c:strCache>
                <c:ptCount val="29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</c:strCache>
            </c:strRef>
          </c:cat>
          <c:val>
            <c:numRef>
              <c:f>WTPs!$D$5:$D$33</c:f>
              <c:numCache>
                <c:formatCode>0.00_ </c:formatCode>
                <c:ptCount val="29"/>
                <c:pt idx="0">
                  <c:v>1.1536512570529016</c:v>
                </c:pt>
                <c:pt idx="1">
                  <c:v>1.1472286156546083</c:v>
                </c:pt>
                <c:pt idx="2">
                  <c:v>7.5396556387621796E-3</c:v>
                </c:pt>
                <c:pt idx="3">
                  <c:v>3.9834975800798998E-2</c:v>
                </c:pt>
                <c:pt idx="4">
                  <c:v>0.10144858152696959</c:v>
                </c:pt>
                <c:pt idx="5">
                  <c:v>4.1109677830514037E-2</c:v>
                </c:pt>
                <c:pt idx="6">
                  <c:v>3.4788226061344345E-2</c:v>
                </c:pt>
                <c:pt idx="7">
                  <c:v>4.9845349494743146E-2</c:v>
                </c:pt>
                <c:pt idx="8">
                  <c:v>4.1989818216615703E-2</c:v>
                </c:pt>
                <c:pt idx="10">
                  <c:v>6.8054364602401593E-2</c:v>
                </c:pt>
                <c:pt idx="11">
                  <c:v>4.2469073558347468E-2</c:v>
                </c:pt>
                <c:pt idx="12">
                  <c:v>2.8468263074414142E-2</c:v>
                </c:pt>
                <c:pt idx="14">
                  <c:v>2.3291593875500203E-2</c:v>
                </c:pt>
                <c:pt idx="15">
                  <c:v>3.6695105829545271E-2</c:v>
                </c:pt>
                <c:pt idx="16">
                  <c:v>6.7766907575141727E-2</c:v>
                </c:pt>
                <c:pt idx="18">
                  <c:v>4.3916678192343073E-2</c:v>
                </c:pt>
                <c:pt idx="19">
                  <c:v>6.0361094057349254E-2</c:v>
                </c:pt>
                <c:pt idx="21">
                  <c:v>3.476737023560493E-2</c:v>
                </c:pt>
                <c:pt idx="22">
                  <c:v>4.4556239345954179E-2</c:v>
                </c:pt>
                <c:pt idx="23">
                  <c:v>3.92423782857323E-2</c:v>
                </c:pt>
                <c:pt idx="24">
                  <c:v>4.8748137428073608E-2</c:v>
                </c:pt>
                <c:pt idx="26">
                  <c:v>2.9032644068265397E-2</c:v>
                </c:pt>
                <c:pt idx="27">
                  <c:v>2.9032644068265397E-2</c:v>
                </c:pt>
                <c:pt idx="28">
                  <c:v>2.9163854620521037E-2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6910288"/>
        <c:axId val="-1126883632"/>
      </c:barChart>
      <c:catAx>
        <c:axId val="-112691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26883632"/>
        <c:crosses val="autoZero"/>
        <c:auto val="1"/>
        <c:lblAlgn val="ctr"/>
        <c:lblOffset val="100"/>
        <c:noMultiLvlLbl val="0"/>
      </c:catAx>
      <c:valAx>
        <c:axId val="-112688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000" b="0" i="0" u="none" strike="noStrike" baseline="0"/>
                  <a:t>MJ/MJ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-112691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61824078272856"/>
          <c:y val="0.4611118887916788"/>
          <c:w val="8.2722513089005231E-2"/>
          <c:h val="0.133333527753475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16181229773746E-2"/>
          <c:y val="7.1065989847716005E-2"/>
          <c:w val="0.91909385113268605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summary'!$E$61:$I$61</c:f>
              <c:strCache>
                <c:ptCount val="5"/>
                <c:pt idx="0">
                  <c:v>NG开采处理阶段</c:v>
                </c:pt>
                <c:pt idx="1">
                  <c:v>NG输配阶段</c:v>
                </c:pt>
                <c:pt idx="2">
                  <c:v>NG液化阶段</c:v>
                </c:pt>
                <c:pt idx="3">
                  <c:v>LNG输配阶段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summary'!$E$70:$I$70</c:f>
              <c:numCache>
                <c:formatCode>0.0</c:formatCode>
                <c:ptCount val="5"/>
                <c:pt idx="0">
                  <c:v>9.35460521588608</c:v>
                </c:pt>
                <c:pt idx="1">
                  <c:v>1.0127108565691105</c:v>
                </c:pt>
                <c:pt idx="2">
                  <c:v>11.978876306888745</c:v>
                </c:pt>
                <c:pt idx="3">
                  <c:v>0.4816401677656395</c:v>
                </c:pt>
                <c:pt idx="4">
                  <c:v>57.122999999999998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976912"/>
        <c:axId val="-1132979088"/>
      </c:barChart>
      <c:catAx>
        <c:axId val="-113297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79088"/>
        <c:crosses val="autoZero"/>
        <c:auto val="1"/>
        <c:lblAlgn val="ctr"/>
        <c:lblOffset val="100"/>
        <c:noMultiLvlLbl val="0"/>
      </c:catAx>
      <c:valAx>
        <c:axId val="-1132979088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97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/>
              <a:t>Life cycle  </a:t>
            </a:r>
            <a:r>
              <a:rPr lang="en-US" altLang="en-US"/>
              <a:t>GHG emissions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453018488784627E-2"/>
          <c:y val="0.15873065082667118"/>
          <c:w val="0.8790448079355816"/>
          <c:h val="0.43809659628161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WTPs!$G$1</c:f>
              <c:strCache>
                <c:ptCount val="1"/>
                <c:pt idx="0">
                  <c:v>GHG</c:v>
                </c:pt>
              </c:strCache>
            </c:strRef>
          </c:tx>
          <c:invertIfNegative val="0"/>
          <c:cat>
            <c:strRef>
              <c:f>WTPs!$A$5:$A$34</c:f>
              <c:strCache>
                <c:ptCount val="30"/>
                <c:pt idx="0">
                  <c:v>Gasoline</c:v>
                </c:pt>
                <c:pt idx="1">
                  <c:v>Diesel</c:v>
                </c:pt>
                <c:pt idx="2">
                  <c:v>CNG</c:v>
                </c:pt>
                <c:pt idx="3">
                  <c:v>LNG</c:v>
                </c:pt>
                <c:pt idx="4">
                  <c:v>GTL</c:v>
                </c:pt>
                <c:pt idx="5">
                  <c:v>CTL</c:v>
                </c:pt>
                <c:pt idx="6">
                  <c:v>CTL(2)</c:v>
                </c:pt>
                <c:pt idx="7">
                  <c:v>CTL+CCS</c:v>
                </c:pt>
                <c:pt idx="8">
                  <c:v>CTL+CCS (2)</c:v>
                </c:pt>
                <c:pt idx="10">
                  <c:v>Grid electricity</c:v>
                </c:pt>
                <c:pt idx="11">
                  <c:v>North China</c:v>
                </c:pt>
                <c:pt idx="12">
                  <c:v>South China</c:v>
                </c:pt>
                <c:pt idx="14">
                  <c:v>PV power(Best) </c:v>
                </c:pt>
                <c:pt idx="15">
                  <c:v>PV power(Ave) </c:v>
                </c:pt>
                <c:pt idx="16">
                  <c:v>PV power(Worst)</c:v>
                </c:pt>
                <c:pt idx="18">
                  <c:v>SC coal to power</c:v>
                </c:pt>
                <c:pt idx="19">
                  <c:v>SC+CCS</c:v>
                </c:pt>
                <c:pt idx="21">
                  <c:v>USC coal to power</c:v>
                </c:pt>
                <c:pt idx="22">
                  <c:v>USC+CCS</c:v>
                </c:pt>
                <c:pt idx="23">
                  <c:v>IGCC</c:v>
                </c:pt>
                <c:pt idx="24">
                  <c:v>IGCC+CCS</c:v>
                </c:pt>
                <c:pt idx="26">
                  <c:v>SNG</c:v>
                </c:pt>
                <c:pt idx="27">
                  <c:v>SNG (2)</c:v>
                </c:pt>
                <c:pt idx="28">
                  <c:v>SNG+CCS</c:v>
                </c:pt>
                <c:pt idx="29">
                  <c:v>SNG+CCS (2)</c:v>
                </c:pt>
              </c:strCache>
            </c:strRef>
          </c:cat>
          <c:val>
            <c:numRef>
              <c:f>WTPs!$G$5:$G$34</c:f>
              <c:numCache>
                <c:formatCode>0_ </c:formatCode>
                <c:ptCount val="30"/>
                <c:pt idx="0">
                  <c:v>91.001421303389492</c:v>
                </c:pt>
                <c:pt idx="1">
                  <c:v>93.100430294232638</c:v>
                </c:pt>
                <c:pt idx="2">
                  <c:v>73.402892731134273</c:v>
                </c:pt>
                <c:pt idx="3">
                  <c:v>76.135711530771573</c:v>
                </c:pt>
                <c:pt idx="4">
                  <c:v>214.30389057678369</c:v>
                </c:pt>
                <c:pt idx="5" formatCode="0.00_ ">
                  <c:v>245.54400731303613</c:v>
                </c:pt>
                <c:pt idx="6">
                  <c:v>202.85171155398555</c:v>
                </c:pt>
                <c:pt idx="7">
                  <c:v>147.62835703955528</c:v>
                </c:pt>
                <c:pt idx="8">
                  <c:v>160.64586255661828</c:v>
                </c:pt>
                <c:pt idx="10">
                  <c:v>237.06320573794014</c:v>
                </c:pt>
                <c:pt idx="11" formatCode="0.00_ ">
                  <c:v>287.23629681233598</c:v>
                </c:pt>
                <c:pt idx="12" formatCode="0.00_ ">
                  <c:v>192.27254380410039</c:v>
                </c:pt>
                <c:pt idx="14" formatCode="0.00_ ">
                  <c:v>20.547014472913819</c:v>
                </c:pt>
                <c:pt idx="15" formatCode="0.00_ ">
                  <c:v>32.371115287127559</c:v>
                </c:pt>
                <c:pt idx="16" formatCode="0.00_ ">
                  <c:v>59.781552012878194</c:v>
                </c:pt>
                <c:pt idx="18">
                  <c:v>294.32118455752214</c:v>
                </c:pt>
                <c:pt idx="19">
                  <c:v>102.89448636282678</c:v>
                </c:pt>
                <c:pt idx="21">
                  <c:v>233.00427110803838</c:v>
                </c:pt>
                <c:pt idx="22">
                  <c:v>75.952754557518361</c:v>
                </c:pt>
                <c:pt idx="23">
                  <c:v>262.99491986451858</c:v>
                </c:pt>
                <c:pt idx="24">
                  <c:v>93.83350727337006</c:v>
                </c:pt>
                <c:pt idx="26">
                  <c:v>194.57123226816839</c:v>
                </c:pt>
                <c:pt idx="27">
                  <c:v>194.57123226816839</c:v>
                </c:pt>
                <c:pt idx="28">
                  <c:v>123.64441791053027</c:v>
                </c:pt>
                <c:pt idx="29">
                  <c:v>123.00648457569719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883088"/>
        <c:axId val="-1126900496"/>
      </c:barChart>
      <c:catAx>
        <c:axId val="-112688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26900496"/>
        <c:crosses val="autoZero"/>
        <c:auto val="1"/>
        <c:lblAlgn val="ctr"/>
        <c:lblOffset val="100"/>
        <c:noMultiLvlLbl val="0"/>
      </c:catAx>
      <c:valAx>
        <c:axId val="-112690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 CO2,e /MJ</a:t>
                </a:r>
                <a:endParaRPr lang="zh-CN" altLang="en-US"/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-112688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740740740740733E-2"/>
          <c:y val="4.9019607843137691E-2"/>
          <c:w val="0.61296296296296005"/>
          <c:h val="0.7156862745098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Water!$E$22</c:f>
              <c:strCache>
                <c:ptCount val="1"/>
                <c:pt idx="0">
                  <c:v>coal extraction</c:v>
                </c:pt>
              </c:strCache>
            </c:strRef>
          </c:tx>
          <c:invertIfNegative val="0"/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Water!$E$23:$E$34</c:f>
              <c:numCache>
                <c:formatCode>0.000_ </c:formatCode>
                <c:ptCount val="12"/>
                <c:pt idx="0">
                  <c:v>5.5401662049861496E-3</c:v>
                </c:pt>
                <c:pt idx="1">
                  <c:v>7.5471698113207548E-3</c:v>
                </c:pt>
                <c:pt idx="2">
                  <c:v>4.3859649122807015E-3</c:v>
                </c:pt>
                <c:pt idx="3">
                  <c:v>5.5710306406685246E-3</c:v>
                </c:pt>
                <c:pt idx="4">
                  <c:v>4.9504950495049506E-3</c:v>
                </c:pt>
                <c:pt idx="5">
                  <c:v>6.0975609756097572E-3</c:v>
                </c:pt>
                <c:pt idx="6">
                  <c:v>4.6296296296296294E-3</c:v>
                </c:pt>
                <c:pt idx="7">
                  <c:v>5.4945054945054949E-3</c:v>
                </c:pt>
                <c:pt idx="8">
                  <c:v>4.9140049140049139E-3</c:v>
                </c:pt>
                <c:pt idx="9">
                  <c:v>6.0606060606060606E-3</c:v>
                </c:pt>
                <c:pt idx="10">
                  <c:v>3.9215686274509803E-3</c:v>
                </c:pt>
                <c:pt idx="11">
                  <c:v>3.9215686274509803E-3</c:v>
                </c:pt>
              </c:numCache>
            </c:numRef>
          </c:val>
        </c:ser>
        <c:ser>
          <c:idx val="1"/>
          <c:order val="1"/>
          <c:tx>
            <c:strRef>
              <c:f>Water!$F$22</c:f>
              <c:strCache>
                <c:ptCount val="1"/>
                <c:pt idx="0">
                  <c:v>coal washing</c:v>
                </c:pt>
              </c:strCache>
            </c:strRef>
          </c:tx>
          <c:invertIfNegative val="0"/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Water!$F$23:$F$34</c:f>
              <c:numCache>
                <c:formatCode>0.000_ </c:formatCode>
                <c:ptCount val="12"/>
                <c:pt idx="0">
                  <c:v>0.13019390581717452</c:v>
                </c:pt>
                <c:pt idx="1">
                  <c:v>0.17735849056603775</c:v>
                </c:pt>
                <c:pt idx="2">
                  <c:v>0.10307017543859649</c:v>
                </c:pt>
                <c:pt idx="3">
                  <c:v>0.13091922005571033</c:v>
                </c:pt>
                <c:pt idx="4">
                  <c:v>0.11633663366336634</c:v>
                </c:pt>
                <c:pt idx="5">
                  <c:v>0.14329268292682928</c:v>
                </c:pt>
                <c:pt idx="6">
                  <c:v>0.10879629629629629</c:v>
                </c:pt>
                <c:pt idx="7">
                  <c:v>0.12912087912087913</c:v>
                </c:pt>
                <c:pt idx="8">
                  <c:v>0.11547911547911548</c:v>
                </c:pt>
                <c:pt idx="9">
                  <c:v>0.14242424242424243</c:v>
                </c:pt>
                <c:pt idx="10">
                  <c:v>9.2156862745098045E-2</c:v>
                </c:pt>
                <c:pt idx="11">
                  <c:v>9.2156862745098045E-2</c:v>
                </c:pt>
              </c:numCache>
            </c:numRef>
          </c:val>
        </c:ser>
        <c:ser>
          <c:idx val="2"/>
          <c:order val="2"/>
          <c:tx>
            <c:strRef>
              <c:f>Water!$G$22</c:f>
              <c:strCache>
                <c:ptCount val="1"/>
                <c:pt idx="0">
                  <c:v>powerplant</c:v>
                </c:pt>
              </c:strCache>
            </c:strRef>
          </c:tx>
          <c:invertIfNegative val="0"/>
          <c:cat>
            <c:strRef>
              <c:f>Water!$C$23:$D$34</c:f>
              <c:strCache>
                <c:ptCount val="12"/>
                <c:pt idx="0">
                  <c:v>subcritical</c:v>
                </c:pt>
                <c:pt idx="1">
                  <c:v>+CCS</c:v>
                </c:pt>
                <c:pt idx="2">
                  <c:v>ultracritical</c:v>
                </c:pt>
                <c:pt idx="3">
                  <c:v>+CCS</c:v>
                </c:pt>
                <c:pt idx="4">
                  <c:v>IGCC</c:v>
                </c:pt>
                <c:pt idx="5">
                  <c:v>+CCS</c:v>
                </c:pt>
                <c:pt idx="6">
                  <c:v>IGCC(Best)</c:v>
                </c:pt>
                <c:pt idx="7">
                  <c:v>+CCS</c:v>
                </c:pt>
                <c:pt idx="8">
                  <c:v>CtL</c:v>
                </c:pt>
                <c:pt idx="9">
                  <c:v>+CCS</c:v>
                </c:pt>
                <c:pt idx="10">
                  <c:v>SNG</c:v>
                </c:pt>
                <c:pt idx="11">
                  <c:v>+CCS</c:v>
                </c:pt>
              </c:strCache>
            </c:strRef>
          </c:cat>
          <c:val>
            <c:numRef>
              <c:f>Water!$G$23:$G$34</c:f>
              <c:numCache>
                <c:formatCode>General</c:formatCode>
                <c:ptCount val="12"/>
                <c:pt idx="0">
                  <c:v>0.68</c:v>
                </c:pt>
                <c:pt idx="1">
                  <c:v>1.31</c:v>
                </c:pt>
                <c:pt idx="2">
                  <c:v>0.51</c:v>
                </c:pt>
                <c:pt idx="3">
                  <c:v>0.93</c:v>
                </c:pt>
                <c:pt idx="4">
                  <c:v>0.32</c:v>
                </c:pt>
                <c:pt idx="5">
                  <c:v>0.57999999999999996</c:v>
                </c:pt>
                <c:pt idx="6">
                  <c:v>0.39</c:v>
                </c:pt>
                <c:pt idx="7">
                  <c:v>0.72</c:v>
                </c:pt>
                <c:pt idx="8">
                  <c:v>0.16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6903216"/>
        <c:axId val="-1126908112"/>
      </c:barChart>
      <c:lineChart>
        <c:grouping val="standard"/>
        <c:varyColors val="0"/>
        <c:ser>
          <c:idx val="3"/>
          <c:order val="3"/>
          <c:tx>
            <c:strRef>
              <c:f>Water!$N$22</c:f>
              <c:strCache>
                <c:ptCount val="1"/>
                <c:pt idx="0">
                  <c:v>lower level</c:v>
                </c:pt>
              </c:strCache>
            </c:strRef>
          </c:tx>
          <c:marker>
            <c:symbol val="none"/>
          </c:marker>
          <c:val>
            <c:numRef>
              <c:f>Water!$N$23:$N$34</c:f>
              <c:numCache>
                <c:formatCode>0.000_ </c:formatCode>
                <c:ptCount val="12"/>
                <c:pt idx="0">
                  <c:v>0.81573407202216075</c:v>
                </c:pt>
                <c:pt idx="1">
                  <c:v>1.4949056603773585</c:v>
                </c:pt>
                <c:pt idx="2">
                  <c:v>0.61470085470085467</c:v>
                </c:pt>
                <c:pt idx="3">
                  <c:v>1.0562886597938146</c:v>
                </c:pt>
                <c:pt idx="4">
                  <c:v>0.43212814645308928</c:v>
                </c:pt>
                <c:pt idx="5">
                  <c:v>0.71066666666666656</c:v>
                </c:pt>
                <c:pt idx="8">
                  <c:v>0.28039312039312037</c:v>
                </c:pt>
                <c:pt idx="9">
                  <c:v>0.38848484848484849</c:v>
                </c:pt>
                <c:pt idx="10">
                  <c:v>0.34607843137254901</c:v>
                </c:pt>
                <c:pt idx="11">
                  <c:v>0.336078431372549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6903216"/>
        <c:axId val="-1126908112"/>
      </c:lineChart>
      <c:catAx>
        <c:axId val="-112690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26908112"/>
        <c:crosses val="autoZero"/>
        <c:auto val="1"/>
        <c:lblAlgn val="ctr"/>
        <c:lblOffset val="100"/>
        <c:noMultiLvlLbl val="0"/>
      </c:catAx>
      <c:valAx>
        <c:axId val="-1126908112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-112690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1495090891439"/>
          <c:y val="0.33333436261643884"/>
          <c:w val="0.22222261106250607"/>
          <c:h val="0.31372651947918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FE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3703764655245688"/>
          <c:y val="0.24074161147862949"/>
          <c:w val="0.32592651534743383"/>
          <c:h val="0.65185420954213746"/>
        </c:manualLayout>
      </c:layout>
      <c:pieChart>
        <c:varyColors val="1"/>
        <c:ser>
          <c:idx val="0"/>
          <c:order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PV!$A$29:$A$35</c:f>
              <c:strCache>
                <c:ptCount val="7"/>
                <c:pt idx="0">
                  <c:v>Silicon production</c:v>
                </c:pt>
                <c:pt idx="1">
                  <c:v>Polysilicon production</c:v>
                </c:pt>
                <c:pt idx="2">
                  <c:v>Cells production</c:v>
                </c:pt>
                <c:pt idx="3">
                  <c:v>Package</c:v>
                </c:pt>
                <c:pt idx="4">
                  <c:v>Auxililary system production</c:v>
                </c:pt>
                <c:pt idx="5">
                  <c:v>Material used in process</c:v>
                </c:pt>
                <c:pt idx="6">
                  <c:v>System transportation</c:v>
                </c:pt>
              </c:strCache>
            </c:strRef>
          </c:cat>
          <c:val>
            <c:numRef>
              <c:f>PV!$D$29:$D$35</c:f>
              <c:numCache>
                <c:formatCode>0_ </c:formatCode>
                <c:ptCount val="7"/>
                <c:pt idx="0">
                  <c:v>1717.9897959183675</c:v>
                </c:pt>
                <c:pt idx="1">
                  <c:v>18740.929251700683</c:v>
                </c:pt>
                <c:pt idx="2">
                  <c:v>8547.66</c:v>
                </c:pt>
                <c:pt idx="3">
                  <c:v>1554.1200000000001</c:v>
                </c:pt>
                <c:pt idx="4">
                  <c:v>1554.1200000000001</c:v>
                </c:pt>
                <c:pt idx="5">
                  <c:v>7635.9096000000009</c:v>
                </c:pt>
                <c:pt idx="6">
                  <c:v>151.16220000000001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GHG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3703764655245688"/>
          <c:y val="0.24074161147862949"/>
          <c:w val="0.32592651534743383"/>
          <c:h val="0.65185420954213746"/>
        </c:manualLayout>
      </c:layout>
      <c:pieChart>
        <c:varyColors val="1"/>
        <c:ser>
          <c:idx val="0"/>
          <c:order val="0"/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PV!$A$29:$A$35</c:f>
              <c:strCache>
                <c:ptCount val="7"/>
                <c:pt idx="0">
                  <c:v>Silicon production</c:v>
                </c:pt>
                <c:pt idx="1">
                  <c:v>Polysilicon production</c:v>
                </c:pt>
                <c:pt idx="2">
                  <c:v>Cells production</c:v>
                </c:pt>
                <c:pt idx="3">
                  <c:v>Package</c:v>
                </c:pt>
                <c:pt idx="4">
                  <c:v>Auxililary system production</c:v>
                </c:pt>
                <c:pt idx="5">
                  <c:v>Material used in process</c:v>
                </c:pt>
                <c:pt idx="6">
                  <c:v>System transportation</c:v>
                </c:pt>
              </c:strCache>
            </c:strRef>
          </c:cat>
          <c:val>
            <c:numRef>
              <c:f>PV!$E$29:$E$35</c:f>
              <c:numCache>
                <c:formatCode>0_ </c:formatCode>
                <c:ptCount val="7"/>
                <c:pt idx="0">
                  <c:v>177.70867346938778</c:v>
                </c:pt>
                <c:pt idx="1">
                  <c:v>1897.407993197279</c:v>
                </c:pt>
                <c:pt idx="2">
                  <c:v>884.1690000000001</c:v>
                </c:pt>
                <c:pt idx="3">
                  <c:v>160.75800000000001</c:v>
                </c:pt>
                <c:pt idx="4">
                  <c:v>160.75800000000001</c:v>
                </c:pt>
                <c:pt idx="5">
                  <c:v>789.85764000000006</c:v>
                </c:pt>
                <c:pt idx="6">
                  <c:v>11.888640000000001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16181229773746E-2"/>
          <c:y val="7.1065989847716005E-2"/>
          <c:w val="0.91909385113268605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summary'!$E$74:$I$74</c:f>
              <c:strCache>
                <c:ptCount val="5"/>
                <c:pt idx="0">
                  <c:v>NG开采处理阶段</c:v>
                </c:pt>
                <c:pt idx="1">
                  <c:v>NG运输阶段</c:v>
                </c:pt>
                <c:pt idx="2">
                  <c:v>GTL生产</c:v>
                </c:pt>
                <c:pt idx="3">
                  <c:v>GTL输配阶段</c:v>
                </c:pt>
                <c:pt idx="4">
                  <c:v>使用阶段</c:v>
                </c:pt>
              </c:strCache>
            </c:strRef>
          </c:cat>
          <c:val>
            <c:numRef>
              <c:f>'fuel summary'!$E$83:$I$83</c:f>
              <c:numCache>
                <c:formatCode>0.0</c:formatCode>
                <c:ptCount val="5"/>
                <c:pt idx="0">
                  <c:v>12.472806954514775</c:v>
                </c:pt>
                <c:pt idx="1">
                  <c:v>9.0018742806143165E-2</c:v>
                </c:pt>
                <c:pt idx="2">
                  <c:v>128.87294603350495</c:v>
                </c:pt>
                <c:pt idx="3">
                  <c:v>0.26811884595782176</c:v>
                </c:pt>
                <c:pt idx="4">
                  <c:v>72.599999999999994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976368"/>
        <c:axId val="-1132978544"/>
      </c:barChart>
      <c:catAx>
        <c:axId val="-113297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78544"/>
        <c:crosses val="autoZero"/>
        <c:auto val="1"/>
        <c:lblAlgn val="ctr"/>
        <c:lblOffset val="100"/>
        <c:noMultiLvlLbl val="0"/>
      </c:catAx>
      <c:valAx>
        <c:axId val="-1132978544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97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2730210016155E-2"/>
          <c:y val="7.1065989847716005E-2"/>
          <c:w val="0.91922455573505657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summary'!$E$89:$I$89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柴油炼制</c:v>
                </c:pt>
                <c:pt idx="3">
                  <c:v>柴油输配</c:v>
                </c:pt>
                <c:pt idx="4">
                  <c:v>柴油使用</c:v>
                </c:pt>
              </c:strCache>
            </c:strRef>
          </c:cat>
          <c:val>
            <c:numRef>
              <c:f>'fuel summary'!$E$98:$I$98</c:f>
              <c:numCache>
                <c:formatCode>0.00</c:formatCode>
                <c:ptCount val="5"/>
                <c:pt idx="0">
                  <c:v>9.0003341467843789</c:v>
                </c:pt>
                <c:pt idx="1">
                  <c:v>1.5158303669014987</c:v>
                </c:pt>
                <c:pt idx="2">
                  <c:v>10.402046514511978</c:v>
                </c:pt>
                <c:pt idx="3">
                  <c:v>0.58328572066619533</c:v>
                </c:pt>
                <c:pt idx="4">
                  <c:v>72.693677333333312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979632"/>
        <c:axId val="-1132975280"/>
      </c:barChart>
      <c:catAx>
        <c:axId val="-113297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75280"/>
        <c:crosses val="autoZero"/>
        <c:auto val="1"/>
        <c:lblAlgn val="ctr"/>
        <c:lblOffset val="100"/>
        <c:noMultiLvlLbl val="0"/>
      </c:catAx>
      <c:valAx>
        <c:axId val="-113297528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97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16181229773746E-2"/>
          <c:y val="7.1065989847716005E-2"/>
          <c:w val="0.91909385113268605"/>
          <c:h val="0.7461928934010176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'fuel summary'!$E$102:$I$102</c:f>
              <c:strCache>
                <c:ptCount val="5"/>
                <c:pt idx="0">
                  <c:v>原油开采处理</c:v>
                </c:pt>
                <c:pt idx="1">
                  <c:v>原油运输</c:v>
                </c:pt>
                <c:pt idx="2">
                  <c:v>汽油炼制</c:v>
                </c:pt>
                <c:pt idx="3">
                  <c:v>汽油输配</c:v>
                </c:pt>
                <c:pt idx="4">
                  <c:v>汽油使用</c:v>
                </c:pt>
              </c:strCache>
            </c:strRef>
          </c:cat>
          <c:val>
            <c:numRef>
              <c:f>'fuel summary'!$E$111:$I$111</c:f>
              <c:numCache>
                <c:formatCode>0.00</c:formatCode>
                <c:ptCount val="5"/>
                <c:pt idx="0">
                  <c:v>9.060942457537136</c:v>
                </c:pt>
                <c:pt idx="1">
                  <c:v>1.5260379787998257</c:v>
                </c:pt>
                <c:pt idx="2">
                  <c:v>11.082118856999115</c:v>
                </c:pt>
                <c:pt idx="3">
                  <c:v>0.58328572066619533</c:v>
                </c:pt>
                <c:pt idx="4">
                  <c:v>69.914596000000003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2898096"/>
        <c:axId val="-1132899184"/>
      </c:barChart>
      <c:catAx>
        <c:axId val="-11328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32899184"/>
        <c:crosses val="autoZero"/>
        <c:auto val="1"/>
        <c:lblAlgn val="ctr"/>
        <c:lblOffset val="100"/>
        <c:noMultiLvlLbl val="0"/>
      </c:catAx>
      <c:valAx>
        <c:axId val="-1132899184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-113289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206</xdr:row>
      <xdr:rowOff>152400</xdr:rowOff>
    </xdr:from>
    <xdr:to>
      <xdr:col>11</xdr:col>
      <xdr:colOff>571500</xdr:colOff>
      <xdr:row>240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78317</xdr:colOff>
      <xdr:row>29</xdr:row>
      <xdr:rowOff>170392</xdr:rowOff>
    </xdr:from>
    <xdr:to>
      <xdr:col>19</xdr:col>
      <xdr:colOff>512234</xdr:colOff>
      <xdr:row>44</xdr:row>
      <xdr:rowOff>170392</xdr:rowOff>
    </xdr:to>
    <xdr:graphicFrame macro="">
      <xdr:nvGraphicFramePr>
        <xdr:cNvPr id="110243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15</xdr:row>
      <xdr:rowOff>14817</xdr:rowOff>
    </xdr:from>
    <xdr:to>
      <xdr:col>27</xdr:col>
      <xdr:colOff>164041</xdr:colOff>
      <xdr:row>31</xdr:row>
      <xdr:rowOff>152400</xdr:rowOff>
    </xdr:to>
    <xdr:graphicFrame macro="">
      <xdr:nvGraphicFramePr>
        <xdr:cNvPr id="110243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41</xdr:row>
      <xdr:rowOff>171450</xdr:rowOff>
    </xdr:from>
    <xdr:to>
      <xdr:col>18</xdr:col>
      <xdr:colOff>552450</xdr:colOff>
      <xdr:row>56</xdr:row>
      <xdr:rowOff>123825</xdr:rowOff>
    </xdr:to>
    <xdr:graphicFrame macro="">
      <xdr:nvGraphicFramePr>
        <xdr:cNvPr id="110243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274320</xdr:colOff>
          <xdr:row>1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335280</xdr:colOff>
          <xdr:row>1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342900</xdr:colOff>
          <xdr:row>1</xdr:row>
          <xdr:rowOff>38100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327660</xdr:colOff>
          <xdr:row>1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525780</xdr:colOff>
          <xdr:row>0</xdr:row>
          <xdr:rowOff>0</xdr:rowOff>
        </xdr:from>
        <xdr:to>
          <xdr:col>8</xdr:col>
          <xdr:colOff>434340</xdr:colOff>
          <xdr:row>1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0</xdr:row>
          <xdr:rowOff>22860</xdr:rowOff>
        </xdr:from>
        <xdr:to>
          <xdr:col>9</xdr:col>
          <xdr:colOff>434340</xdr:colOff>
          <xdr:row>1</xdr:row>
          <xdr:rowOff>53340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9</xdr:row>
      <xdr:rowOff>53340</xdr:rowOff>
    </xdr:from>
    <xdr:to>
      <xdr:col>8</xdr:col>
      <xdr:colOff>594360</xdr:colOff>
      <xdr:row>28</xdr:row>
      <xdr:rowOff>15240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22860</xdr:rowOff>
    </xdr:from>
    <xdr:to>
      <xdr:col>11</xdr:col>
      <xdr:colOff>320040</xdr:colOff>
      <xdr:row>23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1</xdr:row>
      <xdr:rowOff>51436</xdr:rowOff>
    </xdr:from>
    <xdr:to>
      <xdr:col>63</xdr:col>
      <xdr:colOff>457200</xdr:colOff>
      <xdr:row>42</xdr:row>
      <xdr:rowOff>22861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171449</xdr:colOff>
      <xdr:row>47</xdr:row>
      <xdr:rowOff>47625</xdr:rowOff>
    </xdr:from>
    <xdr:to>
      <xdr:col>60</xdr:col>
      <xdr:colOff>38100</xdr:colOff>
      <xdr:row>89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91</xdr:row>
      <xdr:rowOff>133350</xdr:rowOff>
    </xdr:from>
    <xdr:to>
      <xdr:col>60</xdr:col>
      <xdr:colOff>47625</xdr:colOff>
      <xdr:row>122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128</xdr:row>
      <xdr:rowOff>38100</xdr:rowOff>
    </xdr:from>
    <xdr:to>
      <xdr:col>60</xdr:col>
      <xdr:colOff>228600</xdr:colOff>
      <xdr:row>165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135255</xdr:colOff>
      <xdr:row>0</xdr:row>
      <xdr:rowOff>0</xdr:rowOff>
    </xdr:from>
    <xdr:to>
      <xdr:col>28</xdr:col>
      <xdr:colOff>135255</xdr:colOff>
      <xdr:row>25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150494</xdr:colOff>
      <xdr:row>29</xdr:row>
      <xdr:rowOff>114298</xdr:rowOff>
    </xdr:from>
    <xdr:to>
      <xdr:col>28</xdr:col>
      <xdr:colOff>123825</xdr:colOff>
      <xdr:row>48</xdr:row>
      <xdr:rowOff>171449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0</xdr:row>
      <xdr:rowOff>0</xdr:rowOff>
    </xdr:from>
    <xdr:to>
      <xdr:col>18</xdr:col>
      <xdr:colOff>285750</xdr:colOff>
      <xdr:row>25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409575</xdr:colOff>
      <xdr:row>30</xdr:row>
      <xdr:rowOff>95250</xdr:rowOff>
    </xdr:from>
    <xdr:to>
      <xdr:col>18</xdr:col>
      <xdr:colOff>382906</xdr:colOff>
      <xdr:row>49</xdr:row>
      <xdr:rowOff>152401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0</xdr:row>
      <xdr:rowOff>114300</xdr:rowOff>
    </xdr:from>
    <xdr:to>
      <xdr:col>19</xdr:col>
      <xdr:colOff>133350</xdr:colOff>
      <xdr:row>33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37</xdr:row>
      <xdr:rowOff>9525</xdr:rowOff>
    </xdr:from>
    <xdr:to>
      <xdr:col>19</xdr:col>
      <xdr:colOff>542924</xdr:colOff>
      <xdr:row>67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76199</xdr:rowOff>
    </xdr:from>
    <xdr:to>
      <xdr:col>19</xdr:col>
      <xdr:colOff>590550</xdr:colOff>
      <xdr:row>27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31</xdr:row>
      <xdr:rowOff>104774</xdr:rowOff>
    </xdr:from>
    <xdr:to>
      <xdr:col>19</xdr:col>
      <xdr:colOff>666749</xdr:colOff>
      <xdr:row>65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104775</xdr:rowOff>
    </xdr:from>
    <xdr:to>
      <xdr:col>19</xdr:col>
      <xdr:colOff>590550</xdr:colOff>
      <xdr:row>22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24</xdr:row>
      <xdr:rowOff>0</xdr:rowOff>
    </xdr:from>
    <xdr:to>
      <xdr:col>19</xdr:col>
      <xdr:colOff>581025</xdr:colOff>
      <xdr:row>46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35</xdr:row>
      <xdr:rowOff>22861</xdr:rowOff>
    </xdr:from>
    <xdr:to>
      <xdr:col>21</xdr:col>
      <xdr:colOff>220980</xdr:colOff>
      <xdr:row>55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204469</xdr:colOff>
      <xdr:row>59</xdr:row>
      <xdr:rowOff>22861</xdr:rowOff>
    </xdr:from>
    <xdr:to>
      <xdr:col>21</xdr:col>
      <xdr:colOff>276860</xdr:colOff>
      <xdr:row>82</xdr:row>
      <xdr:rowOff>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0</xdr:row>
      <xdr:rowOff>175259</xdr:rowOff>
    </xdr:from>
    <xdr:to>
      <xdr:col>17</xdr:col>
      <xdr:colOff>312420</xdr:colOff>
      <xdr:row>16</xdr:row>
      <xdr:rowOff>160020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243841</xdr:colOff>
      <xdr:row>17</xdr:row>
      <xdr:rowOff>137160</xdr:rowOff>
    </xdr:from>
    <xdr:to>
      <xdr:col>17</xdr:col>
      <xdr:colOff>586741</xdr:colOff>
      <xdr:row>32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5</xdr:row>
      <xdr:rowOff>95250</xdr:rowOff>
    </xdr:from>
    <xdr:to>
      <xdr:col>16</xdr:col>
      <xdr:colOff>352425</xdr:colOff>
      <xdr:row>18</xdr:row>
      <xdr:rowOff>28575</xdr:rowOff>
    </xdr:to>
    <xdr:graphicFrame macro="">
      <xdr:nvGraphicFramePr>
        <xdr:cNvPr id="720845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18</xdr:row>
      <xdr:rowOff>133350</xdr:rowOff>
    </xdr:from>
    <xdr:to>
      <xdr:col>19</xdr:col>
      <xdr:colOff>219075</xdr:colOff>
      <xdr:row>31</xdr:row>
      <xdr:rowOff>133350</xdr:rowOff>
    </xdr:to>
    <xdr:graphicFrame macro="">
      <xdr:nvGraphicFramePr>
        <xdr:cNvPr id="720845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33</xdr:row>
      <xdr:rowOff>38100</xdr:rowOff>
    </xdr:from>
    <xdr:to>
      <xdr:col>19</xdr:col>
      <xdr:colOff>200025</xdr:colOff>
      <xdr:row>44</xdr:row>
      <xdr:rowOff>19050</xdr:rowOff>
    </xdr:to>
    <xdr:graphicFrame macro="">
      <xdr:nvGraphicFramePr>
        <xdr:cNvPr id="720845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46</xdr:row>
      <xdr:rowOff>28575</xdr:rowOff>
    </xdr:from>
    <xdr:to>
      <xdr:col>19</xdr:col>
      <xdr:colOff>104775</xdr:colOff>
      <xdr:row>57</xdr:row>
      <xdr:rowOff>19050</xdr:rowOff>
    </xdr:to>
    <xdr:graphicFrame macro="">
      <xdr:nvGraphicFramePr>
        <xdr:cNvPr id="7208453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19</xdr:col>
      <xdr:colOff>400050</xdr:colOff>
      <xdr:row>70</xdr:row>
      <xdr:rowOff>161925</xdr:rowOff>
    </xdr:to>
    <xdr:graphicFrame macro="">
      <xdr:nvGraphicFramePr>
        <xdr:cNvPr id="7208454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619125</xdr:colOff>
      <xdr:row>72</xdr:row>
      <xdr:rowOff>66675</xdr:rowOff>
    </xdr:from>
    <xdr:to>
      <xdr:col>19</xdr:col>
      <xdr:colOff>333375</xdr:colOff>
      <xdr:row>83</xdr:row>
      <xdr:rowOff>57150</xdr:rowOff>
    </xdr:to>
    <xdr:graphicFrame macro="">
      <xdr:nvGraphicFramePr>
        <xdr:cNvPr id="7208455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476250</xdr:colOff>
      <xdr:row>87</xdr:row>
      <xdr:rowOff>0</xdr:rowOff>
    </xdr:from>
    <xdr:to>
      <xdr:col>19</xdr:col>
      <xdr:colOff>200025</xdr:colOff>
      <xdr:row>97</xdr:row>
      <xdr:rowOff>161925</xdr:rowOff>
    </xdr:to>
    <xdr:graphicFrame macro="">
      <xdr:nvGraphicFramePr>
        <xdr:cNvPr id="7208456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19</xdr:col>
      <xdr:colOff>400050</xdr:colOff>
      <xdr:row>111</xdr:row>
      <xdr:rowOff>161925</xdr:rowOff>
    </xdr:to>
    <xdr:graphicFrame macro="">
      <xdr:nvGraphicFramePr>
        <xdr:cNvPr id="7208457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113</xdr:row>
      <xdr:rowOff>38100</xdr:rowOff>
    </xdr:from>
    <xdr:to>
      <xdr:col>19</xdr:col>
      <xdr:colOff>285750</xdr:colOff>
      <xdr:row>124</xdr:row>
      <xdr:rowOff>28575</xdr:rowOff>
    </xdr:to>
    <xdr:graphicFrame macro="">
      <xdr:nvGraphicFramePr>
        <xdr:cNvPr id="7208458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647700</xdr:colOff>
      <xdr:row>125</xdr:row>
      <xdr:rowOff>95250</xdr:rowOff>
    </xdr:from>
    <xdr:to>
      <xdr:col>21</xdr:col>
      <xdr:colOff>371475</xdr:colOff>
      <xdr:row>136</xdr:row>
      <xdr:rowOff>95250</xdr:rowOff>
    </xdr:to>
    <xdr:graphicFrame macro="">
      <xdr:nvGraphicFramePr>
        <xdr:cNvPr id="7208459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222885</xdr:colOff>
      <xdr:row>125</xdr:row>
      <xdr:rowOff>95250</xdr:rowOff>
    </xdr:from>
    <xdr:to>
      <xdr:col>29</xdr:col>
      <xdr:colOff>489585</xdr:colOff>
      <xdr:row>140</xdr:row>
      <xdr:rowOff>95250</xdr:rowOff>
    </xdr:to>
    <xdr:graphicFrame macro="">
      <xdr:nvGraphicFramePr>
        <xdr:cNvPr id="7208460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11</xdr:row>
          <xdr:rowOff>0</xdr:rowOff>
        </xdr:from>
        <xdr:to>
          <xdr:col>2</xdr:col>
          <xdr:colOff>266700</xdr:colOff>
          <xdr:row>11</xdr:row>
          <xdr:rowOff>190500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11</xdr:row>
          <xdr:rowOff>0</xdr:rowOff>
        </xdr:from>
        <xdr:to>
          <xdr:col>2</xdr:col>
          <xdr:colOff>266700</xdr:colOff>
          <xdr:row>11</xdr:row>
          <xdr:rowOff>182880</xdr:rowOff>
        </xdr:to>
        <xdr:sp macro="" textlink="">
          <xdr:nvSpPr>
            <xdr:cNvPr id="534529" name="Object 1" hidden="1">
              <a:extLst>
                <a:ext uri="{63B3BB69-23CF-44E3-9099-C40C66FF867C}">
                  <a14:compatExt spid="_x0000_s53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6</xdr:row>
      <xdr:rowOff>47625</xdr:rowOff>
    </xdr:from>
    <xdr:to>
      <xdr:col>21</xdr:col>
      <xdr:colOff>19050</xdr:colOff>
      <xdr:row>36</xdr:row>
      <xdr:rowOff>47625</xdr:rowOff>
    </xdr:to>
    <xdr:graphicFrame macro="">
      <xdr:nvGraphicFramePr>
        <xdr:cNvPr id="54667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37</xdr:row>
      <xdr:rowOff>114300</xdr:rowOff>
    </xdr:from>
    <xdr:to>
      <xdr:col>17</xdr:col>
      <xdr:colOff>485775</xdr:colOff>
      <xdr:row>55</xdr:row>
      <xdr:rowOff>9525</xdr:rowOff>
    </xdr:to>
    <xdr:graphicFrame macro="">
      <xdr:nvGraphicFramePr>
        <xdr:cNvPr id="54667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17</xdr:row>
      <xdr:rowOff>95250</xdr:rowOff>
    </xdr:from>
    <xdr:to>
      <xdr:col>24</xdr:col>
      <xdr:colOff>485775</xdr:colOff>
      <xdr:row>34</xdr:row>
      <xdr:rowOff>95250</xdr:rowOff>
    </xdr:to>
    <xdr:graphicFrame macro="">
      <xdr:nvGraphicFramePr>
        <xdr:cNvPr id="65985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37</xdr:row>
      <xdr:rowOff>66675</xdr:rowOff>
    </xdr:from>
    <xdr:to>
      <xdr:col>8</xdr:col>
      <xdr:colOff>390525</xdr:colOff>
      <xdr:row>52</xdr:row>
      <xdr:rowOff>66675</xdr:rowOff>
    </xdr:to>
    <xdr:graphicFrame macro="">
      <xdr:nvGraphicFramePr>
        <xdr:cNvPr id="665291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37</xdr:row>
      <xdr:rowOff>76200</xdr:rowOff>
    </xdr:from>
    <xdr:to>
      <xdr:col>16</xdr:col>
      <xdr:colOff>161925</xdr:colOff>
      <xdr:row>52</xdr:row>
      <xdr:rowOff>76200</xdr:rowOff>
    </xdr:to>
    <xdr:graphicFrame macro="">
      <xdr:nvGraphicFramePr>
        <xdr:cNvPr id="665292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25</xdr:row>
      <xdr:rowOff>133350</xdr:rowOff>
    </xdr:from>
    <xdr:to>
      <xdr:col>13</xdr:col>
      <xdr:colOff>352425</xdr:colOff>
      <xdr:row>43</xdr:row>
      <xdr:rowOff>66675</xdr:rowOff>
    </xdr:to>
    <xdr:graphicFrame macro="">
      <xdr:nvGraphicFramePr>
        <xdr:cNvPr id="573695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5736956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25</xdr:row>
      <xdr:rowOff>0</xdr:rowOff>
    </xdr:from>
    <xdr:to>
      <xdr:col>31</xdr:col>
      <xdr:colOff>171450</xdr:colOff>
      <xdr:row>42</xdr:row>
      <xdr:rowOff>161925</xdr:rowOff>
    </xdr:to>
    <xdr:graphicFrame macro="">
      <xdr:nvGraphicFramePr>
        <xdr:cNvPr id="573695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47625</xdr:colOff>
      <xdr:row>26</xdr:row>
      <xdr:rowOff>161925</xdr:rowOff>
    </xdr:from>
    <xdr:to>
      <xdr:col>59</xdr:col>
      <xdr:colOff>133350</xdr:colOff>
      <xdr:row>45</xdr:row>
      <xdr:rowOff>28575</xdr:rowOff>
    </xdr:to>
    <xdr:graphicFrame macro="">
      <xdr:nvGraphicFramePr>
        <xdr:cNvPr id="573695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573695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573696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26</xdr:row>
      <xdr:rowOff>171450</xdr:rowOff>
    </xdr:from>
    <xdr:to>
      <xdr:col>14</xdr:col>
      <xdr:colOff>0</xdr:colOff>
      <xdr:row>44</xdr:row>
      <xdr:rowOff>95250</xdr:rowOff>
    </xdr:to>
    <xdr:graphicFrame macro="">
      <xdr:nvGraphicFramePr>
        <xdr:cNvPr id="410283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4102838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24</xdr:row>
      <xdr:rowOff>161925</xdr:rowOff>
    </xdr:from>
    <xdr:to>
      <xdr:col>31</xdr:col>
      <xdr:colOff>219075</xdr:colOff>
      <xdr:row>42</xdr:row>
      <xdr:rowOff>142875</xdr:rowOff>
    </xdr:to>
    <xdr:graphicFrame macro="">
      <xdr:nvGraphicFramePr>
        <xdr:cNvPr id="410283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41028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410284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21</xdr:row>
      <xdr:rowOff>142875</xdr:rowOff>
    </xdr:from>
    <xdr:to>
      <xdr:col>13</xdr:col>
      <xdr:colOff>609600</xdr:colOff>
      <xdr:row>39</xdr:row>
      <xdr:rowOff>76200</xdr:rowOff>
    </xdr:to>
    <xdr:graphicFrame macro="">
      <xdr:nvGraphicFramePr>
        <xdr:cNvPr id="414276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23</xdr:row>
      <xdr:rowOff>9525</xdr:rowOff>
    </xdr:from>
    <xdr:to>
      <xdr:col>23</xdr:col>
      <xdr:colOff>38100</xdr:colOff>
      <xdr:row>39</xdr:row>
      <xdr:rowOff>95250</xdr:rowOff>
    </xdr:to>
    <xdr:graphicFrame macro="">
      <xdr:nvGraphicFramePr>
        <xdr:cNvPr id="4142768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304800</xdr:colOff>
      <xdr:row>25</xdr:row>
      <xdr:rowOff>0</xdr:rowOff>
    </xdr:from>
    <xdr:to>
      <xdr:col>31</xdr:col>
      <xdr:colOff>171450</xdr:colOff>
      <xdr:row>42</xdr:row>
      <xdr:rowOff>161925</xdr:rowOff>
    </xdr:to>
    <xdr:graphicFrame macro="">
      <xdr:nvGraphicFramePr>
        <xdr:cNvPr id="414276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342900</xdr:colOff>
      <xdr:row>25</xdr:row>
      <xdr:rowOff>57150</xdr:rowOff>
    </xdr:from>
    <xdr:to>
      <xdr:col>39</xdr:col>
      <xdr:colOff>95250</xdr:colOff>
      <xdr:row>42</xdr:row>
      <xdr:rowOff>152400</xdr:rowOff>
    </xdr:to>
    <xdr:graphicFrame macro="">
      <xdr:nvGraphicFramePr>
        <xdr:cNvPr id="414277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485775</xdr:colOff>
      <xdr:row>26</xdr:row>
      <xdr:rowOff>28575</xdr:rowOff>
    </xdr:from>
    <xdr:to>
      <xdr:col>48</xdr:col>
      <xdr:colOff>447675</xdr:colOff>
      <xdr:row>44</xdr:row>
      <xdr:rowOff>9525</xdr:rowOff>
    </xdr:to>
    <xdr:graphicFrame macro="">
      <xdr:nvGraphicFramePr>
        <xdr:cNvPr id="414277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47625</xdr:rowOff>
    </xdr:from>
    <xdr:to>
      <xdr:col>17</xdr:col>
      <xdr:colOff>228600</xdr:colOff>
      <xdr:row>16</xdr:row>
      <xdr:rowOff>28575</xdr:rowOff>
    </xdr:to>
    <xdr:graphicFrame macro="">
      <xdr:nvGraphicFramePr>
        <xdr:cNvPr id="167772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161925</xdr:rowOff>
    </xdr:from>
    <xdr:to>
      <xdr:col>16</xdr:col>
      <xdr:colOff>590550</xdr:colOff>
      <xdr:row>31</xdr:row>
      <xdr:rowOff>161925</xdr:rowOff>
    </xdr:to>
    <xdr:graphicFrame macro="">
      <xdr:nvGraphicFramePr>
        <xdr:cNvPr id="167772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32</xdr:row>
      <xdr:rowOff>142875</xdr:rowOff>
    </xdr:from>
    <xdr:to>
      <xdr:col>7</xdr:col>
      <xdr:colOff>390525</xdr:colOff>
      <xdr:row>47</xdr:row>
      <xdr:rowOff>142875</xdr:rowOff>
    </xdr:to>
    <xdr:graphicFrame macro="">
      <xdr:nvGraphicFramePr>
        <xdr:cNvPr id="227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266700</xdr:colOff>
          <xdr:row>2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35</xdr:row>
      <xdr:rowOff>161925</xdr:rowOff>
    </xdr:from>
    <xdr:to>
      <xdr:col>8</xdr:col>
      <xdr:colOff>609600</xdr:colOff>
      <xdr:row>50</xdr:row>
      <xdr:rowOff>161925</xdr:rowOff>
    </xdr:to>
    <xdr:graphicFrame macro="">
      <xdr:nvGraphicFramePr>
        <xdr:cNvPr id="536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266700</xdr:colOff>
          <xdr:row>2</xdr:row>
          <xdr:rowOff>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266700</xdr:colOff>
          <xdr:row>2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14</xdr:row>
      <xdr:rowOff>133350</xdr:rowOff>
    </xdr:from>
    <xdr:to>
      <xdr:col>11</xdr:col>
      <xdr:colOff>457200</xdr:colOff>
      <xdr:row>29</xdr:row>
      <xdr:rowOff>123825</xdr:rowOff>
    </xdr:to>
    <xdr:graphicFrame macro="">
      <xdr:nvGraphicFramePr>
        <xdr:cNvPr id="144658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14</xdr:row>
      <xdr:rowOff>161925</xdr:rowOff>
    </xdr:from>
    <xdr:to>
      <xdr:col>19</xdr:col>
      <xdr:colOff>285750</xdr:colOff>
      <xdr:row>29</xdr:row>
      <xdr:rowOff>161925</xdr:rowOff>
    </xdr:to>
    <xdr:graphicFrame macro="">
      <xdr:nvGraphicFramePr>
        <xdr:cNvPr id="144658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16</xdr:row>
      <xdr:rowOff>76200</xdr:rowOff>
    </xdr:from>
    <xdr:to>
      <xdr:col>27</xdr:col>
      <xdr:colOff>295275</xdr:colOff>
      <xdr:row>31</xdr:row>
      <xdr:rowOff>66675</xdr:rowOff>
    </xdr:to>
    <xdr:graphicFrame macro="">
      <xdr:nvGraphicFramePr>
        <xdr:cNvPr id="144658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13" Type="http://schemas.openxmlformats.org/officeDocument/2006/relationships/oleObject" Target="../embeddings/oleObject11.bin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12" Type="http://schemas.openxmlformats.org/officeDocument/2006/relationships/image" Target="../media/image7.w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Relationship Id="rId6" Type="http://schemas.openxmlformats.org/officeDocument/2006/relationships/image" Target="../media/image4.wmf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7.bin"/><Relationship Id="rId10" Type="http://schemas.openxmlformats.org/officeDocument/2006/relationships/image" Target="../media/image6.wmf"/><Relationship Id="rId4" Type="http://schemas.openxmlformats.org/officeDocument/2006/relationships/image" Target="../media/image3.wmf"/><Relationship Id="rId9" Type="http://schemas.openxmlformats.org/officeDocument/2006/relationships/oleObject" Target="../embeddings/oleObject9.bin"/><Relationship Id="rId14" Type="http://schemas.openxmlformats.org/officeDocument/2006/relationships/image" Target="../media/image8.w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hyperlink" Target="http://wenku.baidu.com/view/75a1357e168884868762d6ba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0.xml"/><Relationship Id="rId5" Type="http://schemas.openxmlformats.org/officeDocument/2006/relationships/comments" Target="../comments10.xml"/><Relationship Id="rId4" Type="http://schemas.openxmlformats.org/officeDocument/2006/relationships/image" Target="../media/image9.wmf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1.xml"/><Relationship Id="rId5" Type="http://schemas.openxmlformats.org/officeDocument/2006/relationships/comments" Target="../comments11.xml"/><Relationship Id="rId4" Type="http://schemas.openxmlformats.org/officeDocument/2006/relationships/image" Target="../media/image9.wmf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opLeftCell="A13" workbookViewId="0">
      <selection activeCell="B12" sqref="B12"/>
    </sheetView>
  </sheetViews>
  <sheetFormatPr defaultRowHeight="14.4"/>
  <cols>
    <col min="1" max="1" width="11.6640625" bestFit="1" customWidth="1"/>
  </cols>
  <sheetData>
    <row r="3" spans="1:10">
      <c r="A3" s="489" t="s">
        <v>365</v>
      </c>
      <c r="B3" s="490"/>
      <c r="C3" s="490"/>
      <c r="D3" s="490"/>
      <c r="E3" s="490" t="s">
        <v>630</v>
      </c>
      <c r="F3" s="490" t="s">
        <v>631</v>
      </c>
      <c r="G3" s="490" t="s">
        <v>632</v>
      </c>
      <c r="H3" s="490"/>
      <c r="I3" s="490"/>
      <c r="J3" s="490"/>
    </row>
    <row r="4" spans="1:10">
      <c r="A4" s="491">
        <v>41579</v>
      </c>
      <c r="B4" s="490"/>
      <c r="C4" s="490"/>
      <c r="D4" s="490"/>
      <c r="E4" s="490"/>
      <c r="F4" s="490"/>
      <c r="G4" s="490"/>
      <c r="H4" s="490"/>
      <c r="I4" s="490"/>
      <c r="J4" s="490"/>
    </row>
    <row r="5" spans="1:10">
      <c r="A5" s="490" t="s">
        <v>633</v>
      </c>
      <c r="B5" s="490" t="s">
        <v>634</v>
      </c>
      <c r="C5" s="490" t="s">
        <v>635</v>
      </c>
      <c r="D5" s="490"/>
      <c r="E5" s="490"/>
      <c r="F5" s="490" t="s">
        <v>636</v>
      </c>
      <c r="G5" s="490" t="s">
        <v>637</v>
      </c>
      <c r="H5" s="490"/>
      <c r="I5" s="490"/>
      <c r="J5" s="490"/>
    </row>
    <row r="6" spans="1:10">
      <c r="A6" s="489" t="s">
        <v>366</v>
      </c>
      <c r="B6" s="490"/>
      <c r="C6" s="490"/>
      <c r="D6" s="490"/>
      <c r="E6" s="490"/>
      <c r="F6" s="490"/>
      <c r="G6" s="490"/>
      <c r="H6" s="490"/>
      <c r="I6" s="490"/>
      <c r="J6" s="490"/>
    </row>
    <row r="7" spans="1:10">
      <c r="A7" s="488"/>
      <c r="B7" s="488"/>
      <c r="C7" s="488"/>
      <c r="D7" s="488"/>
      <c r="E7" s="488"/>
      <c r="F7" s="488"/>
      <c r="G7" s="488"/>
      <c r="H7" s="488"/>
      <c r="I7" s="488"/>
      <c r="J7" s="488"/>
    </row>
    <row r="8" spans="1:10">
      <c r="A8" s="29" t="s">
        <v>404</v>
      </c>
      <c r="B8" s="725"/>
      <c r="C8" s="29" t="s">
        <v>405</v>
      </c>
      <c r="D8" s="154"/>
      <c r="E8" s="154"/>
      <c r="F8" s="154"/>
      <c r="G8" s="154"/>
      <c r="H8" s="154"/>
      <c r="I8" s="154"/>
      <c r="J8" s="154"/>
    </row>
    <row r="9" spans="1:10">
      <c r="A9" s="154" t="s">
        <v>638</v>
      </c>
      <c r="B9" s="438"/>
      <c r="C9" s="154" t="s">
        <v>639</v>
      </c>
      <c r="D9" s="154"/>
      <c r="E9" s="154"/>
      <c r="F9" s="154"/>
      <c r="G9" s="154"/>
      <c r="H9" s="154"/>
      <c r="I9" s="154"/>
      <c r="J9" s="154"/>
    </row>
    <row r="10" spans="1:10">
      <c r="A10" s="716" t="s">
        <v>1087</v>
      </c>
      <c r="B10" s="438"/>
      <c r="C10" s="154" t="s">
        <v>661</v>
      </c>
      <c r="D10" s="154"/>
      <c r="E10" s="154"/>
      <c r="F10" s="154"/>
      <c r="G10" s="154"/>
      <c r="H10" s="154"/>
      <c r="I10" s="154"/>
      <c r="J10" s="154"/>
    </row>
    <row r="11" spans="1:10">
      <c r="A11" s="154" t="s">
        <v>1088</v>
      </c>
      <c r="B11" s="438"/>
      <c r="C11" s="716" t="s">
        <v>1089</v>
      </c>
      <c r="D11" s="154"/>
      <c r="E11" s="154"/>
      <c r="F11" s="154"/>
      <c r="G11" s="154"/>
      <c r="H11" s="154"/>
      <c r="I11" s="154"/>
      <c r="J11" s="154"/>
    </row>
    <row r="12" spans="1:10">
      <c r="A12" s="493" t="s">
        <v>625</v>
      </c>
      <c r="B12" s="438"/>
      <c r="C12" s="493" t="s">
        <v>511</v>
      </c>
      <c r="D12" s="154"/>
      <c r="E12" s="154"/>
      <c r="F12" s="154"/>
      <c r="G12" s="154"/>
      <c r="H12" s="154"/>
      <c r="I12" s="154"/>
      <c r="J12" s="154"/>
    </row>
    <row r="13" spans="1:10">
      <c r="A13" s="716" t="s">
        <v>1090</v>
      </c>
      <c r="B13" s="438"/>
      <c r="C13" s="716" t="s">
        <v>1091</v>
      </c>
      <c r="D13" s="154"/>
      <c r="E13" s="154"/>
      <c r="F13" s="154"/>
      <c r="G13" s="154"/>
      <c r="H13" s="154"/>
      <c r="I13" s="154"/>
      <c r="J13" s="154"/>
    </row>
    <row r="14" spans="1:10">
      <c r="A14" s="716" t="s">
        <v>1092</v>
      </c>
      <c r="B14" s="438"/>
      <c r="C14" s="716" t="s">
        <v>1093</v>
      </c>
      <c r="D14" s="154"/>
      <c r="E14" s="154"/>
      <c r="F14" s="154"/>
      <c r="G14" s="154"/>
      <c r="H14" s="154"/>
      <c r="I14" s="154"/>
      <c r="J14" s="154"/>
    </row>
    <row r="15" spans="1:10">
      <c r="A15" s="493" t="s">
        <v>686</v>
      </c>
      <c r="B15" s="438"/>
      <c r="C15" s="493" t="s">
        <v>686</v>
      </c>
      <c r="D15" s="154"/>
      <c r="E15" s="154"/>
      <c r="F15" s="154"/>
      <c r="G15" s="154"/>
      <c r="H15" s="154"/>
      <c r="I15" s="154"/>
      <c r="J15" s="154"/>
    </row>
    <row r="16" spans="1:10">
      <c r="A16" s="154" t="s">
        <v>425</v>
      </c>
      <c r="B16" s="438"/>
      <c r="C16" s="493" t="s">
        <v>426</v>
      </c>
      <c r="D16" s="154"/>
      <c r="E16" s="154"/>
      <c r="F16" s="154"/>
      <c r="G16" s="154"/>
      <c r="H16" s="154"/>
      <c r="I16" s="154"/>
      <c r="J16" s="154"/>
    </row>
    <row r="17" spans="1:10">
      <c r="A17" s="493" t="s">
        <v>428</v>
      </c>
      <c r="B17" s="438"/>
      <c r="C17" s="493" t="s">
        <v>427</v>
      </c>
      <c r="D17" s="154"/>
      <c r="E17" s="154"/>
      <c r="F17" s="154"/>
      <c r="G17" s="154"/>
      <c r="H17" s="154"/>
      <c r="I17" s="154"/>
      <c r="J17" s="154"/>
    </row>
    <row r="18" spans="1:10">
      <c r="A18" s="493" t="s">
        <v>626</v>
      </c>
      <c r="B18" s="438"/>
      <c r="C18" s="493" t="s">
        <v>627</v>
      </c>
      <c r="D18" s="154"/>
      <c r="E18" s="154"/>
      <c r="F18" s="154"/>
      <c r="G18" s="154"/>
      <c r="H18" s="154"/>
      <c r="I18" s="154"/>
      <c r="J18" s="154"/>
    </row>
    <row r="19" spans="1:10">
      <c r="A19" s="493" t="s">
        <v>628</v>
      </c>
      <c r="B19" s="438"/>
      <c r="C19" s="493" t="s">
        <v>629</v>
      </c>
      <c r="D19" s="154"/>
      <c r="E19" s="154"/>
      <c r="F19" s="154"/>
      <c r="G19" s="154"/>
      <c r="H19" s="154"/>
      <c r="I19" s="154"/>
      <c r="J19" s="154"/>
    </row>
    <row r="20" spans="1:10">
      <c r="A20" s="493" t="s">
        <v>403</v>
      </c>
      <c r="B20" s="438"/>
      <c r="C20" s="493" t="s">
        <v>407</v>
      </c>
      <c r="D20" s="154"/>
      <c r="E20" s="154"/>
      <c r="F20" s="154"/>
      <c r="G20" s="154"/>
      <c r="H20" s="154"/>
      <c r="I20" s="154"/>
      <c r="J20" s="154"/>
    </row>
    <row r="21" spans="1:10">
      <c r="A21" s="154" t="s">
        <v>408</v>
      </c>
      <c r="B21" s="438"/>
      <c r="C21" s="493" t="s">
        <v>406</v>
      </c>
      <c r="D21" s="154"/>
      <c r="E21" s="154"/>
      <c r="F21" s="154"/>
      <c r="G21" s="154"/>
      <c r="H21" s="154"/>
      <c r="I21" s="154"/>
      <c r="J21" s="154"/>
    </row>
    <row r="22" spans="1:10">
      <c r="A22" s="493" t="s">
        <v>423</v>
      </c>
      <c r="B22" s="438"/>
      <c r="C22" s="493" t="s">
        <v>424</v>
      </c>
      <c r="D22" s="154"/>
      <c r="E22" s="154"/>
      <c r="F22" s="154"/>
      <c r="G22" s="154"/>
      <c r="H22" s="154"/>
      <c r="I22" s="154"/>
      <c r="J22" s="154"/>
    </row>
    <row r="24" spans="1:10">
      <c r="A24" s="358"/>
      <c r="C24" s="358"/>
    </row>
    <row r="25" spans="1:10">
      <c r="A25" s="358"/>
      <c r="C25" s="358"/>
    </row>
    <row r="26" spans="1:10">
      <c r="C26" s="358"/>
    </row>
    <row r="27" spans="1:10">
      <c r="A27" s="358"/>
      <c r="C27" s="358"/>
    </row>
  </sheetData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6"/>
  <sheetViews>
    <sheetView topLeftCell="A34" workbookViewId="0">
      <pane xSplit="1" topLeftCell="B1" activePane="topRight" state="frozen"/>
      <selection activeCell="C4" sqref="C4"/>
      <selection pane="topRight" activeCell="D16" sqref="D16"/>
    </sheetView>
  </sheetViews>
  <sheetFormatPr defaultRowHeight="14.4"/>
  <cols>
    <col min="1" max="1" width="18.44140625" customWidth="1"/>
    <col min="4" max="4" width="27.33203125" customWidth="1"/>
    <col min="5" max="5" width="12.44140625" bestFit="1" customWidth="1"/>
    <col min="6" max="7" width="15.21875" bestFit="1" customWidth="1"/>
    <col min="8" max="8" width="12.44140625" bestFit="1" customWidth="1"/>
    <col min="9" max="9" width="13.88671875" bestFit="1" customWidth="1"/>
    <col min="11" max="11" width="10.44140625" bestFit="1" customWidth="1"/>
    <col min="16" max="16" width="9.44140625" bestFit="1" customWidth="1"/>
    <col min="20" max="20" width="9.44140625" bestFit="1" customWidth="1"/>
  </cols>
  <sheetData>
    <row r="1" spans="1:18" ht="15" thickBot="1">
      <c r="A1" s="7" t="s">
        <v>12</v>
      </c>
      <c r="B1" s="7" t="s">
        <v>13</v>
      </c>
      <c r="C1" s="7" t="s">
        <v>14</v>
      </c>
      <c r="D1" s="8" t="s">
        <v>15</v>
      </c>
    </row>
    <row r="3" spans="1:18">
      <c r="A3" s="728" t="s">
        <v>179</v>
      </c>
      <c r="B3" s="9"/>
      <c r="C3" s="34"/>
      <c r="D3" s="34"/>
    </row>
    <row r="4" spans="1:18">
      <c r="A4" s="728"/>
      <c r="B4" s="9" t="s">
        <v>93</v>
      </c>
      <c r="C4" s="34">
        <v>33</v>
      </c>
      <c r="D4" s="441">
        <v>43</v>
      </c>
    </row>
    <row r="5" spans="1:18">
      <c r="A5" s="9"/>
      <c r="B5" s="9"/>
      <c r="C5" s="9"/>
      <c r="D5" s="9"/>
      <c r="E5" t="s">
        <v>46</v>
      </c>
      <c r="J5" t="s">
        <v>48</v>
      </c>
      <c r="M5" t="s">
        <v>50</v>
      </c>
      <c r="N5" t="s">
        <v>50</v>
      </c>
      <c r="O5" t="s">
        <v>52</v>
      </c>
    </row>
    <row r="6" spans="1:18" ht="15" thickBot="1">
      <c r="A6" s="10"/>
      <c r="B6" s="10"/>
      <c r="C6" s="10"/>
      <c r="D6" s="10"/>
      <c r="E6" t="s">
        <v>26</v>
      </c>
      <c r="F6" t="s">
        <v>30</v>
      </c>
      <c r="G6" t="s">
        <v>31</v>
      </c>
      <c r="H6" t="s">
        <v>32</v>
      </c>
      <c r="I6" t="s">
        <v>28</v>
      </c>
      <c r="J6" t="s">
        <v>61</v>
      </c>
      <c r="K6" t="s">
        <v>34</v>
      </c>
      <c r="L6" t="s">
        <v>36</v>
      </c>
      <c r="M6" t="s">
        <v>39</v>
      </c>
      <c r="N6" t="s">
        <v>43</v>
      </c>
      <c r="O6" t="s">
        <v>45</v>
      </c>
      <c r="P6" t="s">
        <v>54</v>
      </c>
      <c r="R6" t="s">
        <v>431</v>
      </c>
    </row>
    <row r="8" spans="1:18">
      <c r="A8" s="138" t="s">
        <v>334</v>
      </c>
      <c r="B8" t="s">
        <v>24</v>
      </c>
      <c r="C8" t="s">
        <v>86</v>
      </c>
      <c r="D8" s="20">
        <f>1000*100/C4</f>
        <v>3030.3030303030305</v>
      </c>
      <c r="E8" s="20">
        <f>D8</f>
        <v>3030.3030303030305</v>
      </c>
      <c r="F8" s="20">
        <f>D14</f>
        <v>0.51650816709968717</v>
      </c>
      <c r="G8" s="20">
        <f>D15</f>
        <v>0</v>
      </c>
      <c r="H8" s="20">
        <f>D16</f>
        <v>3.6591859249569119</v>
      </c>
      <c r="I8" s="20">
        <f>D9+D17</f>
        <v>0.84653858994676257</v>
      </c>
      <c r="J8">
        <f>(E8*'LC factor'!G15+F8*'LC factor'!I15+G8*'LC factor'!J15+H8*'LC factor'!K15+I8*'LC factor'!L15)/1000</f>
        <v>3.2525732976420505</v>
      </c>
      <c r="K8">
        <f>(E8*'LC factor'!G16+F8*'LC factor'!I16+G8*'LC factor'!J16+H8*'LC factor'!K16+I8*'LC factor'!L16)/1000</f>
        <v>8.6155575009781785E-3</v>
      </c>
      <c r="L8">
        <f>(E8*'LC factor'!G17+F8*'LC factor'!I17+G8*'LC factor'!J17+H8*'LC factor'!K17+I8*'LC factor'!L17)/1000</f>
        <v>4.9565232115554581E-2</v>
      </c>
      <c r="M8">
        <f>(E8*'LC factor'!G18+F7*'LC factor'!I18+G8*'LC factor'!J18+H8*'LC factor'!K18+I8*'LC factor'!L18)/1000</f>
        <v>269.57987583000477</v>
      </c>
      <c r="N8">
        <f>(E8*'LC factor'!G19+F8*'LC factor'!I19+G8*'LC factor'!J19+H8*'LC factor'!K19+I8*'LC factor'!L19)/1000</f>
        <v>1.3252583971131371</v>
      </c>
      <c r="O8">
        <f>(E8*'LC factor'!G20+F8*'LC factor'!I31+G8*'LC factor'!J20+H8*'LC factor'!K20+I8*'LC factor'!L20)/1000</f>
        <v>4.1931852022959806E-3</v>
      </c>
      <c r="P8">
        <f>M8+N8*25+O8*0.298</f>
        <v>302.71258532702348</v>
      </c>
      <c r="Q8">
        <f>J8+K8+L8</f>
        <v>3.3107540872585832</v>
      </c>
      <c r="R8">
        <f>1/(J8+K8+L8)*100</f>
        <v>30.204599122855242</v>
      </c>
    </row>
    <row r="9" spans="1:18">
      <c r="C9" t="s">
        <v>27</v>
      </c>
      <c r="D9" s="25">
        <f>M16</f>
        <v>0</v>
      </c>
      <c r="L9" t="s">
        <v>69</v>
      </c>
      <c r="M9">
        <v>-74</v>
      </c>
      <c r="N9" t="s">
        <v>50</v>
      </c>
    </row>
    <row r="10" spans="1:18">
      <c r="D10" s="25"/>
    </row>
    <row r="11" spans="1:18">
      <c r="D11" s="25"/>
    </row>
    <row r="12" spans="1:18">
      <c r="D12" s="25"/>
    </row>
    <row r="13" spans="1:18">
      <c r="D13" s="25"/>
    </row>
    <row r="14" spans="1:18">
      <c r="B14" t="s">
        <v>29</v>
      </c>
      <c r="C14" t="s">
        <v>5</v>
      </c>
      <c r="D14">
        <f>'T&amp;D'!C5</f>
        <v>0.51650816709968717</v>
      </c>
      <c r="H14">
        <f>J8+K8+L8</f>
        <v>3.3107540872585832</v>
      </c>
      <c r="L14" t="s">
        <v>70</v>
      </c>
      <c r="M14">
        <f>D8*('LC factor'!L7-'LC factor'!E7)/1000+M9</f>
        <v>173.4</v>
      </c>
      <c r="N14" t="s">
        <v>50</v>
      </c>
    </row>
    <row r="15" spans="1:18">
      <c r="C15" t="s">
        <v>6</v>
      </c>
      <c r="D15">
        <f>0</f>
        <v>0</v>
      </c>
      <c r="H15" s="23">
        <f>1/H14</f>
        <v>0.30204599122855241</v>
      </c>
      <c r="L15" t="s">
        <v>71</v>
      </c>
      <c r="M15" s="27">
        <f>M14*0.9</f>
        <v>156.06</v>
      </c>
      <c r="N15" t="s">
        <v>50</v>
      </c>
    </row>
    <row r="16" spans="1:18">
      <c r="C16" t="s">
        <v>7</v>
      </c>
      <c r="D16">
        <f>'T&amp;D'!C6</f>
        <v>3.6591859249569119</v>
      </c>
      <c r="L16" t="s">
        <v>72</v>
      </c>
      <c r="M16" s="26">
        <f>0</f>
        <v>0</v>
      </c>
      <c r="N16" t="s">
        <v>73</v>
      </c>
    </row>
    <row r="17" spans="1:18">
      <c r="C17" t="s">
        <v>8</v>
      </c>
      <c r="D17">
        <f>'T&amp;D'!C7</f>
        <v>0.84653858994676257</v>
      </c>
    </row>
    <row r="18" spans="1:18">
      <c r="A18" s="437" t="s">
        <v>335</v>
      </c>
      <c r="B18" s="438" t="s">
        <v>24</v>
      </c>
      <c r="C18" s="437" t="s">
        <v>86</v>
      </c>
      <c r="D18" s="439">
        <f>1000*100/D4</f>
        <v>2325.5813953488373</v>
      </c>
      <c r="E18" s="20">
        <f>D18</f>
        <v>2325.5813953488373</v>
      </c>
      <c r="F18" s="20">
        <f>D20</f>
        <v>0.51650816709968717</v>
      </c>
      <c r="G18" s="20">
        <f>D21</f>
        <v>0</v>
      </c>
      <c r="H18" s="20">
        <f>D22</f>
        <v>3.6591859249569119</v>
      </c>
      <c r="I18" s="20">
        <f>D19+D23</f>
        <v>42.26132268730985</v>
      </c>
      <c r="J18">
        <f>(E18*'LC factor'!G15+F18*'LC factor'!I15+G18*'LC factor'!J15+H18*'LC factor'!K15+I18*'LC factor'!L15)/1000</f>
        <v>2.5963910128217091</v>
      </c>
      <c r="K18">
        <f>(E18*'LC factor'!G16+F18*'LC factor'!I16+G18*'LC factor'!J16+H18*'LC factor'!K16+I18*'LC factor'!L16)/1000</f>
        <v>1.4444690369418353E-2</v>
      </c>
      <c r="L18">
        <f>(E18*'LC factor'!G17+F18*'LC factor'!I17+G18*'LC factor'!J17+H18*'LC factor'!K17+I18*'LC factor'!L17)/1000</f>
        <v>4.1989818216615703E-2</v>
      </c>
      <c r="M18">
        <f>(E18*'LC factor'!G18+F18*'LC factor'!I18+G18*'LC factor'!J18+H18*'LC factor'!K18+I18*'LC factor'!L18)/1000</f>
        <v>215.84137115600157</v>
      </c>
      <c r="N18">
        <f>(E18*'LC factor'!G19+F18*'LC factor'!I19+G18*'LC factor'!J19+H18*'LC factor'!K19+I18*'LC factor'!L19)/1000</f>
        <v>1.0584773342755041</v>
      </c>
      <c r="O18">
        <f>(E18*'LC factor'!G20+CtL!F18*'LC factor'!I20+CtL!G18*'LC factor'!J20+CtL!H18*'LC factor'!K20+CtL!I18*'LC factor'!L20)/1000</f>
        <v>3.2336761391856847E-3</v>
      </c>
      <c r="P18">
        <f>M18+N18*25+O18*0.298</f>
        <v>242.30426814837867</v>
      </c>
      <c r="Q18">
        <f>J18+K18+L18</f>
        <v>2.6528255214077432</v>
      </c>
      <c r="R18">
        <f>1/(J18+K18+L18)*100</f>
        <v>37.695656647231814</v>
      </c>
    </row>
    <row r="19" spans="1:18">
      <c r="A19" s="438"/>
      <c r="B19" s="438"/>
      <c r="C19" s="438" t="s">
        <v>27</v>
      </c>
      <c r="D19" s="440">
        <f>M22</f>
        <v>41.414784097363089</v>
      </c>
      <c r="L19" t="s">
        <v>69</v>
      </c>
      <c r="M19">
        <v>-74.3</v>
      </c>
      <c r="N19" t="s">
        <v>50</v>
      </c>
      <c r="Q19" t="s">
        <v>68</v>
      </c>
    </row>
    <row r="20" spans="1:18">
      <c r="A20" s="438"/>
      <c r="B20" s="438" t="s">
        <v>29</v>
      </c>
      <c r="C20" s="438" t="s">
        <v>5</v>
      </c>
      <c r="D20" s="439">
        <f>D14</f>
        <v>0.51650816709968717</v>
      </c>
      <c r="L20" t="s">
        <v>70</v>
      </c>
      <c r="M20">
        <f>CtL!M20</f>
        <v>91.302434077079127</v>
      </c>
      <c r="N20" t="s">
        <v>50</v>
      </c>
    </row>
    <row r="21" spans="1:18">
      <c r="A21" s="438"/>
      <c r="B21" s="438"/>
      <c r="C21" s="438" t="s">
        <v>6</v>
      </c>
      <c r="D21" s="439">
        <f>D15</f>
        <v>0</v>
      </c>
      <c r="L21" t="s">
        <v>71</v>
      </c>
      <c r="M21" s="27">
        <f>M20*0.9</f>
        <v>82.172190669371219</v>
      </c>
      <c r="N21" t="s">
        <v>50</v>
      </c>
    </row>
    <row r="22" spans="1:18">
      <c r="A22" s="438"/>
      <c r="B22" s="438"/>
      <c r="C22" s="438" t="s">
        <v>7</v>
      </c>
      <c r="D22" s="439">
        <f>D16</f>
        <v>3.6591859249569119</v>
      </c>
      <c r="G22" s="533" t="s">
        <v>1013</v>
      </c>
      <c r="L22" t="s">
        <v>72</v>
      </c>
      <c r="M22" s="26">
        <f>M21*140*0.001*3.6</f>
        <v>41.414784097363089</v>
      </c>
      <c r="N22" t="s">
        <v>73</v>
      </c>
    </row>
    <row r="23" spans="1:18" ht="15" thickBot="1">
      <c r="A23" s="438"/>
      <c r="B23" s="438"/>
      <c r="C23" s="438" t="s">
        <v>8</v>
      </c>
      <c r="D23" s="439">
        <f>D17</f>
        <v>0.84653858994676257</v>
      </c>
      <c r="F23" s="107"/>
      <c r="G23" s="339" t="s">
        <v>419</v>
      </c>
      <c r="H23" s="108"/>
      <c r="I23" s="108"/>
      <c r="J23" s="681" t="s">
        <v>60</v>
      </c>
      <c r="K23" s="681" t="s">
        <v>33</v>
      </c>
      <c r="L23" s="682" t="s">
        <v>35</v>
      </c>
      <c r="M23" s="683" t="s">
        <v>38</v>
      </c>
      <c r="N23" s="684" t="s">
        <v>42</v>
      </c>
      <c r="O23" s="682" t="s">
        <v>44</v>
      </c>
      <c r="P23" s="683" t="s">
        <v>53</v>
      </c>
      <c r="Q23" s="685" t="s">
        <v>420</v>
      </c>
    </row>
    <row r="24" spans="1:18">
      <c r="F24" s="686" t="s">
        <v>421</v>
      </c>
      <c r="G24" s="77">
        <f>M15</f>
        <v>156.06</v>
      </c>
      <c r="H24" s="35"/>
      <c r="I24" s="35"/>
      <c r="J24" s="77">
        <f>G24/1000000*'CO2 t&amp;s'!C6</f>
        <v>9.9087399607030498E-3</v>
      </c>
      <c r="K24" s="77">
        <f>G24/1000000*'CO2 t&amp;s'!C7</f>
        <v>7.7044170432825714E-4</v>
      </c>
      <c r="L24" s="77">
        <f>G24/1000000*'CO2 t&amp;s'!C8</f>
        <v>2.8011737918856464E-4</v>
      </c>
      <c r="M24" s="77">
        <f>G24/1000000*'CO2 t&amp;s'!C9</f>
        <v>0.87343893329988798</v>
      </c>
      <c r="N24" s="77">
        <f>G24/1000000*'CO2 t&amp;s'!C10</f>
        <v>4.0931472538488257E-3</v>
      </c>
      <c r="O24" s="77">
        <f>G24/1000000*'CO2 t&amp;s'!C11</f>
        <v>1.3751294383755983E-5</v>
      </c>
      <c r="P24" s="35">
        <f>M24+N24*25+O24*0.298</f>
        <v>0.97577171253183492</v>
      </c>
      <c r="Q24" s="687">
        <f>J24+K24+L24</f>
        <v>1.0959299044219871E-2</v>
      </c>
    </row>
    <row r="25" spans="1:18">
      <c r="F25" s="686" t="s">
        <v>422</v>
      </c>
      <c r="G25" s="77">
        <f>M21</f>
        <v>82.172190669371219</v>
      </c>
      <c r="H25" s="35"/>
      <c r="I25" s="35"/>
      <c r="J25" s="77">
        <f>G25/1000000*'CO2 t&amp;s'!C6</f>
        <v>5.2173706865571504E-3</v>
      </c>
      <c r="K25" s="77">
        <f>G25/1000000*'CO2 t&amp;s'!C7</f>
        <v>4.0567014371201382E-4</v>
      </c>
      <c r="L25" s="77">
        <f>G25/1000000*'CO2 t&amp;s'!C8</f>
        <v>1.4749364790777453E-4</v>
      </c>
      <c r="M25" s="77">
        <f>G25/1000000*'CO2 t&amp;s'!C9</f>
        <v>0.45990254110707807</v>
      </c>
      <c r="N25" s="77">
        <f>G25/1000000*'CO2 t&amp;s'!C10</f>
        <v>2.1552151517434254E-3</v>
      </c>
      <c r="O25" s="77">
        <f>G25/1000000*'CO2 t&amp;s'!C11</f>
        <v>7.2406381138834438E-6</v>
      </c>
      <c r="P25" s="35">
        <f>M25+N25*25+O25*0.298</f>
        <v>0.51378507761082171</v>
      </c>
      <c r="Q25" s="687">
        <f>J25+K25+L25</f>
        <v>5.7705344781769389E-3</v>
      </c>
    </row>
    <row r="26" spans="1:18">
      <c r="F26" s="93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84"/>
    </row>
    <row r="27" spans="1:18">
      <c r="F27" s="93" t="str">
        <f>F24</f>
        <v>CTL+CCS</v>
      </c>
      <c r="G27" s="35"/>
      <c r="H27" s="35"/>
      <c r="I27" s="35"/>
      <c r="J27" s="77">
        <f t="shared" ref="J27:O27" si="0">J8+J24</f>
        <v>3.2624820376027537</v>
      </c>
      <c r="K27" s="77">
        <f t="shared" si="0"/>
        <v>9.3859992053064358E-3</v>
      </c>
      <c r="L27" s="77">
        <f t="shared" si="0"/>
        <v>4.9845349494743146E-2</v>
      </c>
      <c r="M27" s="77">
        <f t="shared" si="0"/>
        <v>270.45331476330466</v>
      </c>
      <c r="N27" s="77">
        <f t="shared" si="0"/>
        <v>1.3293515443669859</v>
      </c>
      <c r="O27" s="77">
        <f t="shared" si="0"/>
        <v>4.2069364966797369E-3</v>
      </c>
      <c r="P27" s="77">
        <f>P8+P24-M15</f>
        <v>147.62835703955528</v>
      </c>
      <c r="Q27" s="687">
        <f>Q8+Q24</f>
        <v>3.321713386302803</v>
      </c>
    </row>
    <row r="28" spans="1:18">
      <c r="F28" s="93" t="str">
        <f>F25</f>
        <v>CTL(low)+CCS</v>
      </c>
      <c r="G28" s="35"/>
      <c r="H28" s="35"/>
      <c r="I28" s="35"/>
      <c r="J28" s="77">
        <f t="shared" ref="J28:O28" si="1">J18+J25</f>
        <v>2.6016083835082662</v>
      </c>
      <c r="K28" s="77">
        <f t="shared" si="1"/>
        <v>1.4850360513130366E-2</v>
      </c>
      <c r="L28" s="77">
        <f t="shared" si="1"/>
        <v>4.2137311864523477E-2</v>
      </c>
      <c r="M28" s="77">
        <f t="shared" si="1"/>
        <v>216.30127369710866</v>
      </c>
      <c r="N28" s="77">
        <f t="shared" si="1"/>
        <v>1.0606325494272475</v>
      </c>
      <c r="O28" s="77">
        <f t="shared" si="1"/>
        <v>3.240916777299568E-3</v>
      </c>
      <c r="P28" s="77">
        <f>P18+P25-M21</f>
        <v>160.64586255661828</v>
      </c>
      <c r="Q28" s="687">
        <f>J18+K18+L18+Q25</f>
        <v>2.6585960558859201</v>
      </c>
    </row>
    <row r="29" spans="1:18">
      <c r="F29" s="101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471"/>
    </row>
    <row r="30" spans="1:18">
      <c r="P30" s="23">
        <f>P24/P27</f>
        <v>6.6096496100026929E-3</v>
      </c>
      <c r="Q30" s="23">
        <f>Q24/Q27</f>
        <v>3.2992909892258946E-3</v>
      </c>
    </row>
    <row r="31" spans="1:18">
      <c r="D31" t="str">
        <f>Coal!F2</f>
        <v>原煤开采处理</v>
      </c>
      <c r="E31" t="str">
        <f>Coal!G2</f>
        <v>煤炭运输</v>
      </c>
      <c r="F31" s="403" t="s">
        <v>594</v>
      </c>
      <c r="G31" s="403" t="s">
        <v>595</v>
      </c>
      <c r="H31" s="403" t="s">
        <v>596</v>
      </c>
      <c r="I31" t="str">
        <f>CtL!H27</f>
        <v>CTL燃烧</v>
      </c>
      <c r="J31" s="458" t="s">
        <v>614</v>
      </c>
      <c r="P31" s="23">
        <f>P25/P28</f>
        <v>3.1982465619352163E-3</v>
      </c>
      <c r="Q31" s="23">
        <f>Q25/Q28</f>
        <v>2.1705194609769451E-3</v>
      </c>
    </row>
    <row r="32" spans="1:18">
      <c r="D32" s="442">
        <f>Coal!F13*'CtL(CCS)'!$D$18/1000</f>
        <v>39.355426076477855</v>
      </c>
      <c r="E32" s="442">
        <f>Coal!G13*'CtL(CCS)'!$D$18/1000</f>
        <v>2.6237272626546173</v>
      </c>
      <c r="F32" s="442">
        <f>Coal!H13*'CtL(CCS)'!$D$18/1000+M19</f>
        <v>115.62394883720931</v>
      </c>
      <c r="G32" s="442">
        <f>-M21</f>
        <v>-82.172190669371219</v>
      </c>
      <c r="H32" s="442">
        <f>CtL!G28</f>
        <v>0.58328572066619533</v>
      </c>
      <c r="I32" s="442">
        <f>CtL!H28</f>
        <v>74.3</v>
      </c>
      <c r="J32" s="442">
        <f>SUM(D32:I32)</f>
        <v>150.31419722763678</v>
      </c>
    </row>
    <row r="33" spans="4:20">
      <c r="D33" s="457">
        <f>D32/J32</f>
        <v>0.26182108411807398</v>
      </c>
      <c r="E33" s="457">
        <f>E32/J32</f>
        <v>1.7454953098550153E-2</v>
      </c>
      <c r="F33" s="457">
        <f>F32/J32</f>
        <v>0.76921509058859994</v>
      </c>
      <c r="G33" s="457">
        <f>G32/J32</f>
        <v>-0.54666952413636039</v>
      </c>
      <c r="H33" s="457">
        <f>H32/J32</f>
        <v>3.8804433075796804E-3</v>
      </c>
      <c r="I33" s="457">
        <f>I32/J32</f>
        <v>0.49429795302355639</v>
      </c>
      <c r="K33">
        <f>J32/CtL!$I$28</f>
        <v>0.74100531898954369</v>
      </c>
    </row>
    <row r="34" spans="4:20">
      <c r="K34" s="457">
        <f>1-K33</f>
        <v>0.25899468101045631</v>
      </c>
    </row>
    <row r="37" spans="4:20">
      <c r="K37" s="107"/>
      <c r="L37" s="108"/>
      <c r="M37" s="108"/>
      <c r="N37" s="108" t="str">
        <f>D31</f>
        <v>原煤开采处理</v>
      </c>
      <c r="O37" s="108" t="str">
        <f t="shared" ref="O37:Q37" si="2">E31</f>
        <v>煤炭运输</v>
      </c>
      <c r="P37" s="108" t="str">
        <f t="shared" si="2"/>
        <v>CTL制备</v>
      </c>
      <c r="Q37" s="108" t="str">
        <f t="shared" si="2"/>
        <v>捕获</v>
      </c>
      <c r="R37" s="108" t="str">
        <f>H31</f>
        <v>CTL输配</v>
      </c>
      <c r="S37" s="108" t="str">
        <f>I31</f>
        <v>CTL燃烧</v>
      </c>
      <c r="T37" s="467" t="str">
        <f>J31</f>
        <v>合计</v>
      </c>
    </row>
    <row r="38" spans="4:20">
      <c r="K38" s="93" t="s">
        <v>1017</v>
      </c>
      <c r="L38" s="35" t="s">
        <v>1018</v>
      </c>
      <c r="M38" s="35" t="s">
        <v>4</v>
      </c>
      <c r="N38" s="35">
        <f>Coal!F5/$D$4*100</f>
        <v>0.16335941963699852</v>
      </c>
      <c r="O38" s="35">
        <f>Coal!G5/$D$4*100</f>
        <v>5.4666368030677863E-3</v>
      </c>
      <c r="P38" s="35">
        <f>Coal!H5/$D$4*100</f>
        <v>2.3255813953488373</v>
      </c>
      <c r="Q38" s="35">
        <v>0</v>
      </c>
      <c r="R38" s="35">
        <f>CtL!Q29</f>
        <v>2.2847998565108316E-3</v>
      </c>
      <c r="S38" s="35">
        <f>CtL!R29</f>
        <v>1</v>
      </c>
      <c r="T38" s="84">
        <f>SUM(N38:S38)</f>
        <v>3.4966922516454142</v>
      </c>
    </row>
    <row r="39" spans="4:20">
      <c r="K39" s="93" t="s">
        <v>1019</v>
      </c>
      <c r="L39" s="35" t="s">
        <v>1020</v>
      </c>
      <c r="M39" s="35" t="s">
        <v>4</v>
      </c>
      <c r="N39" s="35">
        <f>Coal!F6/$D$4*100</f>
        <v>4.8583216022596888E-3</v>
      </c>
      <c r="O39" s="35">
        <f>Coal!G6/$D$4*100</f>
        <v>1.4869838379284615E-3</v>
      </c>
      <c r="P39" s="35">
        <f>Coal!H6/$D$4*100</f>
        <v>0</v>
      </c>
      <c r="Q39" s="35">
        <f>'Oil-based'!I15</f>
        <v>0</v>
      </c>
      <c r="R39" s="35">
        <f>CtL!Q30</f>
        <v>3.4743223043014068E-4</v>
      </c>
      <c r="S39" s="35">
        <f>CtL!R30</f>
        <v>0</v>
      </c>
      <c r="T39" s="84">
        <f t="shared" ref="T39:T41" si="3">SUM(N39:S39)</f>
        <v>6.6927376706182916E-3</v>
      </c>
    </row>
    <row r="40" spans="4:20">
      <c r="K40" s="93" t="s">
        <v>1021</v>
      </c>
      <c r="L40" s="35" t="s">
        <v>1022</v>
      </c>
      <c r="M40" s="35" t="s">
        <v>4</v>
      </c>
      <c r="N40" s="35">
        <f>Coal!F7/$D$4*100</f>
        <v>6.3786684298073829E-3</v>
      </c>
      <c r="O40" s="35">
        <f>Coal!G7/$D$4*100</f>
        <v>2.792110493243272E-2</v>
      </c>
      <c r="P40" s="35">
        <f>Coal!H7/$D$4*100</f>
        <v>0</v>
      </c>
      <c r="Q40" s="35">
        <f>'Oil-based'!I16</f>
        <v>0</v>
      </c>
      <c r="R40" s="35">
        <f>CtL!Q31</f>
        <v>4.6863196254656658E-3</v>
      </c>
      <c r="S40" s="35">
        <f>CtL!R31</f>
        <v>0</v>
      </c>
      <c r="T40" s="84">
        <f t="shared" si="3"/>
        <v>3.8986092987705771E-2</v>
      </c>
    </row>
    <row r="41" spans="4:20">
      <c r="K41" s="93" t="s">
        <v>1023</v>
      </c>
      <c r="L41" s="35" t="s">
        <v>1024</v>
      </c>
      <c r="M41" s="35" t="s">
        <v>4</v>
      </c>
      <c r="N41" s="35">
        <f>N38+N39+N40</f>
        <v>0.17459640966906559</v>
      </c>
      <c r="O41" s="35">
        <f>O38+O39+O40</f>
        <v>3.4874725573428966E-2</v>
      </c>
      <c r="P41" s="35">
        <f>P38+P39+P40-1</f>
        <v>1.3255813953488373</v>
      </c>
      <c r="Q41" s="35">
        <f>Q38+Q39+Q40</f>
        <v>0</v>
      </c>
      <c r="R41" s="35">
        <f>R38+R39+R40</f>
        <v>7.3185517124066384E-3</v>
      </c>
      <c r="S41" s="35">
        <f>S38+S39+S40</f>
        <v>1</v>
      </c>
      <c r="T41" s="84">
        <f t="shared" si="3"/>
        <v>2.5423710823037382</v>
      </c>
    </row>
    <row r="42" spans="4:20">
      <c r="K42" s="93"/>
      <c r="L42" s="35"/>
      <c r="M42" s="35"/>
      <c r="N42" s="35"/>
      <c r="O42" s="35"/>
      <c r="P42" s="35"/>
      <c r="Q42" s="35"/>
      <c r="R42" s="35"/>
      <c r="S42" s="35"/>
      <c r="T42" s="84"/>
    </row>
    <row r="43" spans="4:20">
      <c r="K43" s="93" t="s">
        <v>1025</v>
      </c>
      <c r="L43" s="35" t="s">
        <v>1026</v>
      </c>
      <c r="M43" s="35" t="s">
        <v>9</v>
      </c>
      <c r="N43" s="35">
        <f>Coal!F10/$D$4*100</f>
        <v>14.077508610927584</v>
      </c>
      <c r="O43" s="35">
        <f>Coal!G10/$D$4*100</f>
        <v>2.5524002214240564</v>
      </c>
      <c r="P43" s="35">
        <f>Coal!H10/$D$4*100-S43</f>
        <v>115.56511627906978</v>
      </c>
      <c r="Q43" s="380">
        <f>G32</f>
        <v>-82.172190669371219</v>
      </c>
      <c r="R43" s="35">
        <f>CtL!Q34</f>
        <v>0.55806620693335285</v>
      </c>
      <c r="S43" s="35">
        <f>CtL!R34</f>
        <v>74.3</v>
      </c>
      <c r="T43" s="84">
        <f>SUM(N43:S43)</f>
        <v>124.88090064898356</v>
      </c>
    </row>
    <row r="44" spans="4:20">
      <c r="K44" s="93" t="s">
        <v>1027</v>
      </c>
      <c r="L44" s="35" t="s">
        <v>1028</v>
      </c>
      <c r="M44" s="35" t="s">
        <v>9</v>
      </c>
      <c r="N44" s="35">
        <f>Coal!F11/$D$4*100</f>
        <v>1.0111130638118682</v>
      </c>
      <c r="O44" s="35">
        <f>Coal!G11/$D$4*100</f>
        <v>2.8461167685231731E-3</v>
      </c>
      <c r="P44" s="35">
        <f>Coal!H11/$D$4*100</f>
        <v>2.3255813953488376E-3</v>
      </c>
      <c r="Q44" s="35">
        <f>'Oil-based'!I20</f>
        <v>0</v>
      </c>
      <c r="R44" s="35">
        <f>CtL!Q35</f>
        <v>1.0085557508089156E-3</v>
      </c>
      <c r="S44" s="35">
        <f>CtL!R35</f>
        <v>0</v>
      </c>
      <c r="T44" s="84">
        <f t="shared" ref="T44:T45" si="4">SUM(N44:S44)</f>
        <v>1.0172933177265491</v>
      </c>
    </row>
    <row r="45" spans="4:20">
      <c r="K45" s="93" t="s">
        <v>1029</v>
      </c>
      <c r="L45" s="35" t="s">
        <v>1030</v>
      </c>
      <c r="M45" s="35" t="s">
        <v>10</v>
      </c>
      <c r="N45" s="35">
        <f>Coal!F12/$D$4*100</f>
        <v>3.0493373678354782E-4</v>
      </c>
      <c r="O45" s="35">
        <f>Coal!G12/$D$4*100</f>
        <v>5.8430207208799646E-4</v>
      </c>
      <c r="P45" s="35">
        <f>Coal!H12/$D$4*100</f>
        <v>2.3255813953488376E-3</v>
      </c>
      <c r="Q45" s="35">
        <f>'Oil-based'!I21</f>
        <v>0</v>
      </c>
      <c r="R45" s="35">
        <f>CtL!Q36</f>
        <v>1.8858934965282446E-5</v>
      </c>
      <c r="S45" s="35">
        <f>CtL!R36</f>
        <v>0</v>
      </c>
      <c r="T45" s="84">
        <f t="shared" si="4"/>
        <v>3.2336761391856643E-3</v>
      </c>
    </row>
    <row r="46" spans="4:20">
      <c r="K46" s="101" t="s">
        <v>1031</v>
      </c>
      <c r="L46" s="102" t="s">
        <v>1032</v>
      </c>
      <c r="M46" s="102" t="s">
        <v>9</v>
      </c>
      <c r="N46" s="692">
        <f>(N43+N44*25+N45*0.298)</f>
        <v>39.355426076477848</v>
      </c>
      <c r="O46" s="692">
        <f t="shared" ref="O46:Q46" si="5">(O43+O44*25+O45*0.298)</f>
        <v>2.6237272626546182</v>
      </c>
      <c r="P46" s="692">
        <f>(P43+P44*25+P45*0.298)</f>
        <v>115.62394883720933</v>
      </c>
      <c r="Q46" s="692">
        <f t="shared" si="5"/>
        <v>-82.172190669371219</v>
      </c>
      <c r="R46" s="692">
        <f>(R43+R44*25+R45*0.298)</f>
        <v>0.58328572066619533</v>
      </c>
      <c r="S46" s="692">
        <f t="shared" ref="S46" si="6">(S43+S44*25+S45*0.298)</f>
        <v>74.3</v>
      </c>
      <c r="T46" s="693">
        <f>SUM(N46:S46)</f>
        <v>150.31419722763678</v>
      </c>
    </row>
  </sheetData>
  <mergeCells count="1">
    <mergeCell ref="A3:A4"/>
  </mergeCells>
  <phoneticPr fontId="9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266700</xdr:colOff>
                <xdr:row>2</xdr:row>
                <xdr:rowOff>0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5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2</xdr:row>
                <xdr:rowOff>0</xdr:rowOff>
              </to>
            </anchor>
          </objectPr>
        </oleObject>
      </mc:Choice>
      <mc:Fallback>
        <oleObject progId="Equation.DSMT4" shapeId="5123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opLeftCell="A4" zoomScale="90" zoomScaleNormal="90" workbookViewId="0">
      <selection activeCell="J84" sqref="J84"/>
    </sheetView>
  </sheetViews>
  <sheetFormatPr defaultRowHeight="14.4"/>
  <cols>
    <col min="2" max="2" width="11.109375" customWidth="1"/>
    <col min="4" max="4" width="12.77734375" bestFit="1" customWidth="1"/>
    <col min="7" max="7" width="12.77734375" bestFit="1" customWidth="1"/>
    <col min="10" max="10" width="14.21875" bestFit="1" customWidth="1"/>
    <col min="11" max="11" width="10.44140625" bestFit="1" customWidth="1"/>
    <col min="15" max="15" width="12.77734375" bestFit="1" customWidth="1"/>
    <col min="16" max="16" width="9.44140625" customWidth="1"/>
    <col min="23" max="23" width="12.77734375" bestFit="1" customWidth="1"/>
  </cols>
  <sheetData>
    <row r="1" spans="1:27" ht="15" thickBot="1">
      <c r="A1" s="403" t="s">
        <v>514</v>
      </c>
      <c r="E1" s="36"/>
      <c r="F1" s="416" t="s">
        <v>530</v>
      </c>
      <c r="G1" s="37"/>
      <c r="H1" s="37"/>
      <c r="I1" s="37"/>
      <c r="J1" s="38"/>
      <c r="M1" s="36"/>
      <c r="N1" s="416" t="s">
        <v>516</v>
      </c>
      <c r="O1" s="37"/>
      <c r="P1" s="37"/>
      <c r="Q1" s="37"/>
      <c r="R1" s="38"/>
      <c r="U1" s="36"/>
      <c r="V1" s="416" t="s">
        <v>544</v>
      </c>
      <c r="W1" s="37"/>
      <c r="X1" s="37"/>
      <c r="Y1" s="37"/>
      <c r="Z1" s="38"/>
    </row>
    <row r="2" spans="1:27">
      <c r="B2" s="403" t="s">
        <v>515</v>
      </c>
      <c r="C2">
        <f>41.816</f>
        <v>41.816000000000003</v>
      </c>
      <c r="D2" s="403" t="s">
        <v>519</v>
      </c>
      <c r="E2" s="36"/>
      <c r="F2" s="411" t="s">
        <v>533</v>
      </c>
      <c r="G2" s="411" t="s">
        <v>534</v>
      </c>
      <c r="H2" s="411" t="s">
        <v>535</v>
      </c>
      <c r="I2" s="411" t="s">
        <v>536</v>
      </c>
      <c r="J2" s="414" t="s">
        <v>537</v>
      </c>
      <c r="K2" s="417" t="s">
        <v>541</v>
      </c>
      <c r="M2" s="36"/>
      <c r="N2" s="411" t="s">
        <v>533</v>
      </c>
      <c r="O2" s="411" t="s">
        <v>534</v>
      </c>
      <c r="P2" s="411" t="s">
        <v>542</v>
      </c>
      <c r="Q2" s="411" t="s">
        <v>543</v>
      </c>
      <c r="R2" s="414" t="s">
        <v>547</v>
      </c>
      <c r="S2" s="417" t="s">
        <v>541</v>
      </c>
      <c r="U2" s="36"/>
      <c r="V2" s="411" t="s">
        <v>533</v>
      </c>
      <c r="W2" s="411" t="s">
        <v>534</v>
      </c>
      <c r="X2" s="411" t="s">
        <v>545</v>
      </c>
      <c r="Y2" s="411" t="s">
        <v>546</v>
      </c>
      <c r="Z2" s="414" t="s">
        <v>548</v>
      </c>
      <c r="AA2" s="417" t="s">
        <v>541</v>
      </c>
    </row>
    <row r="3" spans="1:27">
      <c r="B3" s="403" t="s">
        <v>517</v>
      </c>
      <c r="C3">
        <f>42.652</f>
        <v>42.652000000000001</v>
      </c>
      <c r="D3" s="403" t="s">
        <v>519</v>
      </c>
      <c r="E3" s="503" t="s">
        <v>538</v>
      </c>
      <c r="F3" s="502">
        <v>1</v>
      </c>
      <c r="G3" s="502">
        <v>1</v>
      </c>
      <c r="H3" s="502">
        <f>'LC for SE'!R8/100</f>
        <v>0.95</v>
      </c>
      <c r="I3" s="502">
        <v>1</v>
      </c>
      <c r="J3" s="40"/>
      <c r="M3" s="410" t="s">
        <v>538</v>
      </c>
      <c r="N3" s="35">
        <v>1</v>
      </c>
      <c r="O3" s="35">
        <v>1</v>
      </c>
      <c r="P3" s="35">
        <f>'LC for SE'!R9/100</f>
        <v>0.95</v>
      </c>
      <c r="Q3" s="35">
        <v>1</v>
      </c>
      <c r="R3" s="40"/>
      <c r="U3" s="410" t="s">
        <v>538</v>
      </c>
      <c r="V3" s="35">
        <v>1</v>
      </c>
      <c r="W3" s="35">
        <v>1</v>
      </c>
      <c r="X3" s="35">
        <f>'LC for SE'!R10/100</f>
        <v>0.97</v>
      </c>
      <c r="Y3" s="35">
        <v>1</v>
      </c>
      <c r="Z3" s="40"/>
    </row>
    <row r="4" spans="1:27">
      <c r="B4" s="403" t="s">
        <v>516</v>
      </c>
      <c r="C4">
        <f>43.07</f>
        <v>43.07</v>
      </c>
      <c r="D4" s="403" t="s">
        <v>519</v>
      </c>
      <c r="E4" s="410" t="s">
        <v>539</v>
      </c>
      <c r="F4" s="35"/>
      <c r="G4" s="35"/>
      <c r="H4" s="35"/>
      <c r="I4" s="35"/>
      <c r="J4" s="40"/>
      <c r="M4" s="410" t="s">
        <v>539</v>
      </c>
      <c r="N4" s="35"/>
      <c r="O4" s="35"/>
      <c r="P4" s="35"/>
      <c r="Q4" s="35"/>
      <c r="R4" s="40"/>
      <c r="U4" s="410" t="s">
        <v>539</v>
      </c>
      <c r="V4" s="35"/>
      <c r="W4" s="35"/>
      <c r="X4" s="35"/>
      <c r="Y4" s="35"/>
      <c r="Z4" s="40"/>
    </row>
    <row r="5" spans="1:27">
      <c r="B5" s="403" t="s">
        <v>518</v>
      </c>
      <c r="C5">
        <f>41.816</f>
        <v>41.816000000000003</v>
      </c>
      <c r="D5" s="403" t="s">
        <v>519</v>
      </c>
      <c r="E5" s="39" t="str">
        <f>C17</f>
        <v>LCA-Coal</v>
      </c>
      <c r="F5" s="502">
        <f>D17/C47*100/H3</f>
        <v>3.6731070826015615E-2</v>
      </c>
      <c r="G5" s="502">
        <f>D36/C47*100/H3</f>
        <v>7.6483395142159169E-3</v>
      </c>
      <c r="H5" s="502">
        <f>D57</f>
        <v>3.0192737536267684E-2</v>
      </c>
      <c r="I5" s="502">
        <f>D79</f>
        <v>2.2847998565108316E-3</v>
      </c>
      <c r="J5" s="40">
        <v>0</v>
      </c>
      <c r="K5">
        <f>SUM(F5:J5)</f>
        <v>7.685694773301005E-2</v>
      </c>
      <c r="M5" s="39" t="str">
        <f>E5</f>
        <v>LCA-Coal</v>
      </c>
      <c r="N5" s="35">
        <f>D17/I47*100/P3</f>
        <v>3.6978418104305286E-2</v>
      </c>
      <c r="O5" s="35">
        <f>D36/I47*100/P3</f>
        <v>7.6998434840086167E-3</v>
      </c>
      <c r="P5" s="35">
        <f>J57</f>
        <v>3.21666996516786E-2</v>
      </c>
      <c r="Q5" s="35">
        <f>E79</f>
        <v>2.2847998565108316E-3</v>
      </c>
      <c r="R5" s="40">
        <v>0</v>
      </c>
      <c r="S5">
        <f>SUM(N5:R5)</f>
        <v>7.9129761096503326E-2</v>
      </c>
      <c r="U5" s="39" t="str">
        <f>M5</f>
        <v>LCA-Coal</v>
      </c>
      <c r="V5" s="35">
        <f>D17/O47*100/X3</f>
        <v>3.4328122400075899E-2</v>
      </c>
      <c r="W5" s="35">
        <f>D36/O47*100</f>
        <v>6.9335452308926515E-3</v>
      </c>
      <c r="X5" s="35">
        <f>P57</f>
        <v>1.678344488950554E-2</v>
      </c>
      <c r="Y5" s="35">
        <f>F79</f>
        <v>2.2847998565108316E-3</v>
      </c>
      <c r="Z5" s="40">
        <v>0</v>
      </c>
      <c r="AA5">
        <f>SUM(V5:Z5)</f>
        <v>6.0329912376984922E-2</v>
      </c>
    </row>
    <row r="6" spans="1:27" ht="15" thickBot="1">
      <c r="E6" s="39" t="str">
        <f>C18</f>
        <v>LCA-NG</v>
      </c>
      <c r="F6" s="502">
        <f>D18/C47*100/H3</f>
        <v>4.3746751981384363E-2</v>
      </c>
      <c r="G6" s="502">
        <f>D37/C47*100/H3</f>
        <v>9.5335311632136334E-4</v>
      </c>
      <c r="H6" s="502">
        <f>D58</f>
        <v>9.1354134032836688E-3</v>
      </c>
      <c r="I6" s="502">
        <f>D80</f>
        <v>3.4743223043014068E-4</v>
      </c>
      <c r="J6" s="40">
        <v>0</v>
      </c>
      <c r="K6">
        <f>SUM(F6:J6)</f>
        <v>5.4182950731419544E-2</v>
      </c>
      <c r="M6" s="39" t="str">
        <f t="shared" ref="M6:M13" si="0">E6</f>
        <v>LCA-NG</v>
      </c>
      <c r="N6" s="35">
        <f>D18/I47*100/P3</f>
        <v>4.4041342903817927E-2</v>
      </c>
      <c r="O6" s="35">
        <f>D37/I47*100/P3</f>
        <v>9.5977300262655785E-4</v>
      </c>
      <c r="P6" s="35">
        <f>J58</f>
        <v>9.7326749117851025E-3</v>
      </c>
      <c r="Q6" s="35">
        <f>E80</f>
        <v>3.4743223043014068E-4</v>
      </c>
      <c r="R6" s="40">
        <v>0</v>
      </c>
      <c r="S6">
        <f>SUM(N6:R6)</f>
        <v>5.5081223048659728E-2</v>
      </c>
      <c r="U6" s="39" t="str">
        <f>M6</f>
        <v>LCA-NG</v>
      </c>
      <c r="V6" s="35">
        <f>D18/O47*100/X3</f>
        <v>4.088483735571033E-2</v>
      </c>
      <c r="W6" s="35">
        <f>D37/O47*100</f>
        <v>8.6425516816303165E-4</v>
      </c>
      <c r="X6" s="35">
        <f>P58</f>
        <v>5.0781651452667526E-3</v>
      </c>
      <c r="Y6" s="35">
        <f>F80</f>
        <v>3.4743223043014068E-4</v>
      </c>
      <c r="Z6" s="40">
        <v>0</v>
      </c>
      <c r="AA6">
        <f>SUM(V6:Z6)</f>
        <v>4.7174689899570257E-2</v>
      </c>
    </row>
    <row r="7" spans="1:27">
      <c r="A7" s="406" t="s">
        <v>520</v>
      </c>
      <c r="B7" s="37"/>
      <c r="C7" s="500">
        <f>'Key Input'!L4</f>
        <v>0.93</v>
      </c>
      <c r="D7" s="37"/>
      <c r="E7" s="39" t="str">
        <f>C19</f>
        <v>LCA-Oil</v>
      </c>
      <c r="F7" s="502">
        <f>D19/C47*100/H3</f>
        <v>3.936502969774841E-2</v>
      </c>
      <c r="G7" s="502">
        <f>D38/C47*100/H3</f>
        <v>1.0023428574974628E-2</v>
      </c>
      <c r="H7" s="502">
        <f>D59</f>
        <v>9.8237511507565378E-2</v>
      </c>
      <c r="I7" s="502">
        <f>D81</f>
        <v>4.6863196254656658E-3</v>
      </c>
      <c r="J7" s="525">
        <v>1</v>
      </c>
      <c r="K7" s="464">
        <f>SUM(F7:J7)</f>
        <v>1.152312289405754</v>
      </c>
      <c r="M7" s="39" t="str">
        <f t="shared" si="0"/>
        <v>LCA-Oil</v>
      </c>
      <c r="N7" s="35">
        <f>D19/I47*100/P3</f>
        <v>3.9630114072817441E-2</v>
      </c>
      <c r="O7" s="35">
        <f>D38/I47*100/P3</f>
        <v>1.0090926410496344E-2</v>
      </c>
      <c r="P7" s="35">
        <f>J59</f>
        <v>0.10466015290585673</v>
      </c>
      <c r="Q7" s="35">
        <f>E81</f>
        <v>4.6863196254656658E-3</v>
      </c>
      <c r="R7" s="40">
        <v>1</v>
      </c>
      <c r="S7" s="464">
        <f>SUM(N7:R7)</f>
        <v>1.1590675130146362</v>
      </c>
      <c r="U7" s="39" t="str">
        <f>M7</f>
        <v>LCA-Oil</v>
      </c>
      <c r="V7" s="35">
        <f>D19/O47*100/X3</f>
        <v>3.6789767555315114E-2</v>
      </c>
      <c r="W7" s="35">
        <f>D38/O47*100</f>
        <v>9.0866645320900295E-3</v>
      </c>
      <c r="X7" s="35">
        <f>P59</f>
        <v>5.4607961881193628E-2</v>
      </c>
      <c r="Y7" s="35">
        <f>F81</f>
        <v>4.6863196254656658E-3</v>
      </c>
      <c r="Z7" s="40">
        <v>1</v>
      </c>
      <c r="AA7">
        <f>SUM(V7:Z7)</f>
        <v>1.1051707135940645</v>
      </c>
    </row>
    <row r="8" spans="1:27">
      <c r="A8" s="39"/>
      <c r="B8" s="407" t="s">
        <v>521</v>
      </c>
      <c r="C8" s="35" t="str">
        <f>'LC for SE'!A4</f>
        <v>原煤</v>
      </c>
      <c r="D8" s="415">
        <f>'LC for SE'!J4</f>
        <v>0.04</v>
      </c>
      <c r="E8" s="39" t="str">
        <f>C20</f>
        <v>LCA-PE</v>
      </c>
      <c r="F8" s="404">
        <f>F5+F6+F7</f>
        <v>0.1198428525051484</v>
      </c>
      <c r="G8" s="404">
        <f>G5+G6+G7</f>
        <v>1.8625121205511908E-2</v>
      </c>
      <c r="H8" s="404">
        <f>H5+H6+H7</f>
        <v>0.13756566244711674</v>
      </c>
      <c r="I8" s="404">
        <f>I5+I6+I7</f>
        <v>7.3185517124066384E-3</v>
      </c>
      <c r="J8" s="409">
        <f>J5+J6+J7</f>
        <v>1</v>
      </c>
      <c r="K8" s="464">
        <f>SUM(F8:J8)</f>
        <v>1.2833521878701837</v>
      </c>
      <c r="L8" s="465">
        <f>1/K8</f>
        <v>0.77920933119658509</v>
      </c>
      <c r="M8" s="39" t="str">
        <f t="shared" si="0"/>
        <v>LCA-PE</v>
      </c>
      <c r="N8" s="404">
        <f>N5+N6+N7</f>
        <v>0.12064987508094066</v>
      </c>
      <c r="O8" s="404">
        <f>O5+O6+O7</f>
        <v>1.8750542897131517E-2</v>
      </c>
      <c r="P8" s="404">
        <f>P5+P6+P7</f>
        <v>0.14655952746932044</v>
      </c>
      <c r="Q8" s="404">
        <f>Q5+Q6+Q7</f>
        <v>7.3185517124066384E-3</v>
      </c>
      <c r="R8" s="409">
        <f>R5+R6+R7</f>
        <v>1</v>
      </c>
      <c r="S8" s="464">
        <f>SUM(N8:R8)</f>
        <v>1.2932784971597993</v>
      </c>
      <c r="T8" s="465">
        <f>1/S8</f>
        <v>0.77322866049047023</v>
      </c>
      <c r="U8" s="39" t="str">
        <f>M8</f>
        <v>LCA-PE</v>
      </c>
      <c r="V8" s="404">
        <f>V5+V6+V7</f>
        <v>0.11200272731110135</v>
      </c>
      <c r="W8" s="404">
        <f>W5+W6+W7</f>
        <v>1.6884464931145711E-2</v>
      </c>
      <c r="X8" s="404">
        <f>X5+X6+X7</f>
        <v>7.6469571915965928E-2</v>
      </c>
      <c r="Y8" s="404">
        <f>Y5+Y6+Y7</f>
        <v>7.3185517124066384E-3</v>
      </c>
      <c r="Z8" s="409">
        <f>Z5+Z6+Z7</f>
        <v>1</v>
      </c>
      <c r="AA8">
        <f>SUM(V8:Z8)</f>
        <v>1.2126753158706196</v>
      </c>
    </row>
    <row r="9" spans="1:27">
      <c r="A9" s="39"/>
      <c r="B9" s="35"/>
      <c r="C9" s="35" t="str">
        <f>'LC for SE'!A5</f>
        <v>原始天然气</v>
      </c>
      <c r="D9" s="415">
        <f>'LC for SE'!J5</f>
        <v>0.43</v>
      </c>
      <c r="E9" s="39"/>
      <c r="F9" s="35"/>
      <c r="G9" s="35"/>
      <c r="H9" s="35"/>
      <c r="I9" s="35"/>
      <c r="J9" s="40"/>
      <c r="M9" s="39"/>
      <c r="N9" s="35"/>
      <c r="O9" s="35"/>
      <c r="P9" s="35"/>
      <c r="Q9" s="35"/>
      <c r="R9" s="40"/>
      <c r="U9" s="39"/>
      <c r="V9" s="35"/>
      <c r="W9" s="35"/>
      <c r="X9" s="35"/>
      <c r="Y9" s="35"/>
      <c r="Z9" s="40"/>
    </row>
    <row r="10" spans="1:27">
      <c r="A10" s="39"/>
      <c r="B10" s="35"/>
      <c r="C10" s="35" t="str">
        <f>'LC for SE'!A6</f>
        <v>原油</v>
      </c>
      <c r="D10" s="415">
        <f>'LC for SE'!J6</f>
        <v>0.28000000000000003</v>
      </c>
      <c r="E10" s="39" t="str">
        <f>C22</f>
        <v>LCA-CO2</v>
      </c>
      <c r="F10" s="35">
        <f>D22/C47*100/H3</f>
        <v>8.2694057704500157</v>
      </c>
      <c r="G10" s="35">
        <f>D41/C47*100/H3</f>
        <v>1.4334440667981583</v>
      </c>
      <c r="H10" s="35">
        <f>D62</f>
        <v>10.049833925618231</v>
      </c>
      <c r="I10" s="35">
        <f>D84</f>
        <v>0.55806620693335285</v>
      </c>
      <c r="J10" s="40">
        <f>'LC factor'!H9</f>
        <v>72.585333333333324</v>
      </c>
      <c r="K10">
        <f>SUM(F10:J10)</f>
        <v>92.896083303133082</v>
      </c>
      <c r="M10" s="39" t="str">
        <f t="shared" si="0"/>
        <v>LCA-CO2</v>
      </c>
      <c r="N10" s="35">
        <f>D22/I47*100/P3</f>
        <v>8.3250920045944614</v>
      </c>
      <c r="O10" s="35">
        <f>D41/I47*100/P3</f>
        <v>1.4430968887967994</v>
      </c>
      <c r="P10" s="35">
        <f>J62</f>
        <v>10.706879064751847</v>
      </c>
      <c r="Q10" s="35">
        <f>E84</f>
        <v>0.55806620693335285</v>
      </c>
      <c r="R10" s="40">
        <f>'LC factor'!H10</f>
        <v>67.914000000000001</v>
      </c>
      <c r="S10">
        <f>SUM(N10:R10)</f>
        <v>88.947134165076463</v>
      </c>
      <c r="U10" s="39" t="str">
        <f>M10</f>
        <v>LCA-CO2</v>
      </c>
      <c r="V10" s="35">
        <f>D22/O47*100/X3</f>
        <v>7.7284208458971069</v>
      </c>
      <c r="W10" s="35">
        <f>D41/O47*100</f>
        <v>1.2994780441723943</v>
      </c>
      <c r="X10" s="35">
        <f>P62</f>
        <v>5.586470376748327</v>
      </c>
      <c r="Y10" s="35">
        <f>F84</f>
        <v>0.55806620693335285</v>
      </c>
      <c r="Z10" s="40">
        <f>'LC factor'!H11</f>
        <v>75.819333333333333</v>
      </c>
      <c r="AA10">
        <f>SUM(V10:Z10)</f>
        <v>90.991768807084512</v>
      </c>
    </row>
    <row r="11" spans="1:27">
      <c r="A11" s="39"/>
      <c r="B11" s="35"/>
      <c r="C11" s="35" t="str">
        <f>'LC for SE'!A7</f>
        <v>精煤</v>
      </c>
      <c r="D11" s="415">
        <f>'LC for SE'!J7</f>
        <v>0</v>
      </c>
      <c r="E11" s="39" t="str">
        <f>C23</f>
        <v>LCA-CH4</v>
      </c>
      <c r="F11" s="35">
        <f>D23/C47*100/H3</f>
        <v>2.92331498421005E-2</v>
      </c>
      <c r="G11" s="35">
        <f>D42/C47*100/H3</f>
        <v>3.2951759247019387E-3</v>
      </c>
      <c r="H11" s="35">
        <f>D63</f>
        <v>1.4087571962384245E-2</v>
      </c>
      <c r="I11" s="35">
        <f>D85</f>
        <v>1.0085557508089156E-3</v>
      </c>
      <c r="J11" s="40">
        <f>'LC factor'!I9</f>
        <v>4.0000000000000001E-3</v>
      </c>
      <c r="K11">
        <f>SUM(F11:J11)</f>
        <v>5.16244534799956E-2</v>
      </c>
      <c r="M11" s="39" t="str">
        <f t="shared" si="0"/>
        <v>LCA-CH4</v>
      </c>
      <c r="N11" s="35">
        <f>D23/I47*100/P3</f>
        <v>2.9430006069993433E-2</v>
      </c>
      <c r="O11" s="35">
        <f>D42/I47*100/P3</f>
        <v>3.317365661568619E-3</v>
      </c>
      <c r="P11" s="35">
        <f>J63</f>
        <v>1.500859919015609E-2</v>
      </c>
      <c r="Q11" s="35">
        <f>E85</f>
        <v>1.0085557508089156E-3</v>
      </c>
      <c r="R11" s="40">
        <f>'LC factor'!I10</f>
        <v>0.08</v>
      </c>
      <c r="S11">
        <f>SUM(N11:R11)</f>
        <v>0.12876452667252705</v>
      </c>
      <c r="U11" s="39" t="str">
        <f>M11</f>
        <v>LCA-CH4</v>
      </c>
      <c r="V11" s="35">
        <f>D23/O47*100/X3</f>
        <v>2.732071576874966E-2</v>
      </c>
      <c r="W11" s="35">
        <f>D42/O47*100</f>
        <v>2.9872171959944229E-3</v>
      </c>
      <c r="X11" s="35">
        <f>P63</f>
        <v>7.8309556188341234E-3</v>
      </c>
      <c r="Y11" s="35">
        <f>F85</f>
        <v>1.0085557508089156E-3</v>
      </c>
      <c r="Z11" s="40">
        <f>'LC factor'!I11</f>
        <v>2E-3</v>
      </c>
      <c r="AA11">
        <f>SUM(V11:Z11)</f>
        <v>4.1147444334387127E-2</v>
      </c>
    </row>
    <row r="12" spans="1:27">
      <c r="A12" s="39"/>
      <c r="B12" s="35"/>
      <c r="C12" s="35" t="str">
        <f>'LC for SE'!A8</f>
        <v>精制天然气</v>
      </c>
      <c r="D12" s="415">
        <f>'LC for SE'!J8</f>
        <v>0</v>
      </c>
      <c r="E12" s="39" t="str">
        <f>C24</f>
        <v>LCA-N2O</v>
      </c>
      <c r="F12" s="35">
        <f>D24/C47*100/H3</f>
        <v>3.3432980486573067E-4</v>
      </c>
      <c r="G12" s="35">
        <f>D43/C47*100/H3</f>
        <v>2.316102614775857E-5</v>
      </c>
      <c r="H12" s="35">
        <f>D64</f>
        <v>7.8153805845627351E-5</v>
      </c>
      <c r="I12" s="35">
        <f>D86</f>
        <v>1.8858934965282446E-5</v>
      </c>
      <c r="J12" s="40">
        <f>'LC factor'!J9</f>
        <v>2.8000000000000001E-2</v>
      </c>
      <c r="K12">
        <f>SUM(F12:J12)</f>
        <v>2.8454503571824399E-2</v>
      </c>
      <c r="M12" s="39" t="str">
        <f t="shared" si="0"/>
        <v>LCA-N2O</v>
      </c>
      <c r="N12" s="35">
        <f>D24/I47*100/P3</f>
        <v>3.3658118402307566E-4</v>
      </c>
      <c r="O12" s="35">
        <f>D43/I47*100/P3</f>
        <v>2.3316992653804083E-5</v>
      </c>
      <c r="P12" s="35">
        <f>J64</f>
        <v>8.3263400552935213E-5</v>
      </c>
      <c r="Q12" s="35">
        <f>E86</f>
        <v>1.8858934965282446E-5</v>
      </c>
      <c r="R12" s="40">
        <f>'LC factor'!J10</f>
        <v>2E-3</v>
      </c>
      <c r="S12">
        <f>SUM(N12:R12)</f>
        <v>2.4620205121950976E-3</v>
      </c>
      <c r="U12" s="39" t="str">
        <f>M12</f>
        <v>LCA-N2O</v>
      </c>
      <c r="V12" s="35">
        <f>D24/O47*100/X3</f>
        <v>3.1245793289792978E-4</v>
      </c>
      <c r="W12" s="35">
        <f>D43/O47*100</f>
        <v>2.0996455778523901E-5</v>
      </c>
      <c r="X12" s="35">
        <f>P64</f>
        <v>4.3443894139761029E-5</v>
      </c>
      <c r="Y12" s="35">
        <f>F86</f>
        <v>1.8858934965282446E-5</v>
      </c>
      <c r="Z12" s="40">
        <f>'LC factor'!J11</f>
        <v>0</v>
      </c>
      <c r="AA12">
        <f>SUM(V12:Z12)</f>
        <v>3.9575721778149715E-4</v>
      </c>
    </row>
    <row r="13" spans="1:27" ht="15" thickBot="1">
      <c r="A13" s="39"/>
      <c r="B13" s="35"/>
      <c r="C13" s="35" t="str">
        <f>'LC for SE'!A9</f>
        <v>柴油</v>
      </c>
      <c r="D13" s="415">
        <f>'LC for SE'!J9</f>
        <v>0.09</v>
      </c>
      <c r="E13" s="41" t="str">
        <f>C25</f>
        <v>LCA-GHG</v>
      </c>
      <c r="F13" s="405">
        <f>(F10+F11*25+F12*0.298)</f>
        <v>9.0003341467843789</v>
      </c>
      <c r="G13" s="405">
        <f t="shared" ref="G13:I13" si="1">(G10+G11*25+G12*0.298)</f>
        <v>1.5158303669014987</v>
      </c>
      <c r="H13" s="405">
        <f t="shared" si="1"/>
        <v>10.402046514511978</v>
      </c>
      <c r="I13" s="405">
        <f t="shared" si="1"/>
        <v>0.58328572066619533</v>
      </c>
      <c r="J13" s="405">
        <f>(J10+J11*25+J12*0.298)</f>
        <v>72.693677333333312</v>
      </c>
      <c r="K13" s="418">
        <f>SUM(F13:J13)</f>
        <v>94.195174082197369</v>
      </c>
      <c r="M13" s="39" t="str">
        <f t="shared" si="0"/>
        <v>LCA-GHG</v>
      </c>
      <c r="N13" s="405">
        <f t="shared" ref="N13:R13" si="2">(N10+N11*25+N12*0.298)</f>
        <v>9.060942457537136</v>
      </c>
      <c r="O13" s="405">
        <f t="shared" si="2"/>
        <v>1.5260379787998257</v>
      </c>
      <c r="P13" s="405">
        <f t="shared" si="2"/>
        <v>11.082118856999115</v>
      </c>
      <c r="Q13" s="405">
        <f t="shared" si="2"/>
        <v>0.58328572066619533</v>
      </c>
      <c r="R13" s="405">
        <f t="shared" si="2"/>
        <v>69.914596000000003</v>
      </c>
      <c r="S13" s="418">
        <f>SUM(N13:R13)</f>
        <v>92.166981014002275</v>
      </c>
      <c r="U13" s="39" t="str">
        <f>M13</f>
        <v>LCA-GHG</v>
      </c>
      <c r="V13" s="405">
        <f t="shared" ref="V13" si="3">(V10+V11*25+V12*0.298)</f>
        <v>8.4115318525798521</v>
      </c>
      <c r="W13" s="405">
        <f t="shared" ref="W13" si="4">(W10+W11*25+W12*0.298)</f>
        <v>1.3741647310160767</v>
      </c>
      <c r="X13" s="405">
        <f t="shared" ref="X13" si="5">(X10+X11*25+X12*0.298)</f>
        <v>5.7822572134996344</v>
      </c>
      <c r="Y13" s="405">
        <f t="shared" ref="Y13" si="6">(Y10+Y11*25+Y12*0.298)</f>
        <v>0.58328572066619533</v>
      </c>
      <c r="Z13" s="405">
        <f t="shared" ref="Z13" si="7">(Z10+Z11*25+Z12*0.298)</f>
        <v>75.86933333333333</v>
      </c>
      <c r="AA13" s="418">
        <f>SUM(V13:Z13)</f>
        <v>92.020572851095096</v>
      </c>
    </row>
    <row r="14" spans="1:27">
      <c r="A14" s="39"/>
      <c r="B14" s="35"/>
      <c r="C14" s="35" t="str">
        <f>'LC for SE'!A10</f>
        <v>汽油</v>
      </c>
      <c r="D14" s="408">
        <f>'LC for SE'!J10</f>
        <v>0.01</v>
      </c>
      <c r="F14" s="427">
        <f>F13/K13</f>
        <v>9.5549843550694361E-2</v>
      </c>
      <c r="G14" s="427">
        <f>G13/K13</f>
        <v>1.6092441907679288E-2</v>
      </c>
      <c r="H14" s="427">
        <f>H13/K13</f>
        <v>0.11043077966430487</v>
      </c>
      <c r="I14" s="427">
        <f>I13/K13</f>
        <v>6.1923100238362927E-3</v>
      </c>
      <c r="J14" s="427">
        <f>J13/K13</f>
        <v>0.7717346248534851</v>
      </c>
      <c r="N14" s="427">
        <f>N13/S13</f>
        <v>9.8310071110613587E-2</v>
      </c>
      <c r="O14" s="427">
        <f>O13/S13</f>
        <v>1.6557317620808101E-2</v>
      </c>
      <c r="P14" s="427">
        <f>P13/S13</f>
        <v>0.12023957750461076</v>
      </c>
      <c r="Q14" s="427">
        <f>Q13/S13</f>
        <v>6.3285757464224728E-3</v>
      </c>
      <c r="R14" s="427">
        <f>R13/S13</f>
        <v>0.75856445801754513</v>
      </c>
      <c r="V14" s="427">
        <f>V13/AA13</f>
        <v>9.1409253300249918E-2</v>
      </c>
      <c r="W14" s="427">
        <f>W13/AA13</f>
        <v>1.4933233824133094E-2</v>
      </c>
      <c r="X14" s="427">
        <f>X13/AA13</f>
        <v>6.283657050099338E-2</v>
      </c>
      <c r="Y14" s="427">
        <f>Y13/AA13</f>
        <v>6.3386447464313291E-3</v>
      </c>
      <c r="Z14" s="427">
        <f>Z13/AA13</f>
        <v>0.82448229762819225</v>
      </c>
    </row>
    <row r="15" spans="1:27">
      <c r="A15" s="39"/>
      <c r="B15" s="35"/>
      <c r="C15" s="35" t="str">
        <f>'LC for SE'!A11</f>
        <v>燃料油</v>
      </c>
      <c r="D15" s="408">
        <f>'LC for SE'!J11</f>
        <v>0.01</v>
      </c>
      <c r="V15" s="403" t="s">
        <v>579</v>
      </c>
      <c r="W15" s="403" t="s">
        <v>580</v>
      </c>
      <c r="X15" s="403" t="s">
        <v>581</v>
      </c>
    </row>
    <row r="16" spans="1:27">
      <c r="A16" s="39"/>
      <c r="B16" s="415"/>
      <c r="C16" s="35" t="str">
        <f>'LC for SE'!A12</f>
        <v>电力</v>
      </c>
      <c r="D16" s="408">
        <f>'LC for SE'!J12</f>
        <v>0.14000000000000001</v>
      </c>
      <c r="V16" s="428">
        <f>V14+W14+X14</f>
        <v>0.16917905762537638</v>
      </c>
      <c r="W16" s="428">
        <f>Y14</f>
        <v>6.3386447464313291E-3</v>
      </c>
      <c r="X16" s="428">
        <f>Z14</f>
        <v>0.82448229762819225</v>
      </c>
    </row>
    <row r="17" spans="1:4">
      <c r="A17" s="39"/>
      <c r="B17" s="407" t="s">
        <v>522</v>
      </c>
      <c r="C17" s="35" t="str">
        <f>'NG-based'!H13</f>
        <v>LCA-Coal</v>
      </c>
      <c r="D17" s="40">
        <f>SUMPRODUCT(D8:D16,'LC factor'!B4:B12)*(1/C7-1)</f>
        <v>3.1300382004389206E-2</v>
      </c>
    </row>
    <row r="18" spans="1:4">
      <c r="A18" s="39"/>
      <c r="B18" s="35"/>
      <c r="C18" s="35" t="str">
        <f>'NG-based'!H14</f>
        <v>LCA-NG</v>
      </c>
      <c r="D18" s="40">
        <f>SUMPRODUCT(D8:D16,'LC factor'!C4:C12)*(1/C7-1)</f>
        <v>3.7278794700936681E-2</v>
      </c>
    </row>
    <row r="19" spans="1:4">
      <c r="A19" s="39"/>
      <c r="B19" s="35"/>
      <c r="C19" s="35" t="str">
        <f>'NG-based'!H15</f>
        <v>LCA-Oil</v>
      </c>
      <c r="D19" s="40">
        <f>SUMPRODUCT(D8:D16,'LC factor'!D4:D12)*(1/C7-1)</f>
        <v>3.3544910056936314E-2</v>
      </c>
    </row>
    <row r="20" spans="1:4">
      <c r="A20" s="39"/>
      <c r="B20" s="35"/>
      <c r="C20" s="35" t="str">
        <f>'NG-based'!H16</f>
        <v>LCA-PE</v>
      </c>
      <c r="D20" s="409">
        <f>D17+D18+D19</f>
        <v>0.1021240867622622</v>
      </c>
    </row>
    <row r="21" spans="1:4">
      <c r="A21" s="39"/>
      <c r="B21" s="35"/>
      <c r="C21" s="35"/>
      <c r="D21" s="40"/>
    </row>
    <row r="22" spans="1:4">
      <c r="A22" s="39"/>
      <c r="B22" s="35"/>
      <c r="C22" s="35" t="str">
        <f>'NG-based'!H18</f>
        <v>LCA-CO2</v>
      </c>
      <c r="D22" s="40">
        <f>SUMPRODUCT(D8:D16,'LC factor'!L4:L12)*(1/C7-1)</f>
        <v>7.0467741272889812</v>
      </c>
    </row>
    <row r="23" spans="1:4">
      <c r="A23" s="39"/>
      <c r="B23" s="35"/>
      <c r="C23" s="35" t="str">
        <f>'NG-based'!H19</f>
        <v>LCA-CH4</v>
      </c>
      <c r="D23" s="40">
        <f>SUMPRODUCT(D8:D16,'LC factor'!M4:M12)*(1/C7-1)+0.009</f>
        <v>2.4911028637945941E-2</v>
      </c>
    </row>
    <row r="24" spans="1:4">
      <c r="A24" s="39"/>
      <c r="B24" s="35"/>
      <c r="C24" s="35" t="str">
        <f>'NG-based'!H20</f>
        <v>LCA-N2O</v>
      </c>
      <c r="D24" s="40">
        <f>SUMPRODUCT(D8:D16,'LC factor'!N4:N12)*(1/C7-1)</f>
        <v>2.8489914321633237E-4</v>
      </c>
    </row>
    <row r="25" spans="1:4" ht="15" thickBot="1">
      <c r="A25" s="39"/>
      <c r="B25" s="35"/>
      <c r="C25" s="35" t="str">
        <f>'NG-based'!H21</f>
        <v>LCA-GHG</v>
      </c>
      <c r="D25" s="405">
        <f>(D22+D23*25+D24*0.298)</f>
        <v>7.669634743182308</v>
      </c>
    </row>
    <row r="26" spans="1:4">
      <c r="A26" s="406" t="s">
        <v>523</v>
      </c>
      <c r="B26" s="411" t="s">
        <v>524</v>
      </c>
      <c r="C26" s="501">
        <f>'Key Input'!L5</f>
        <v>0.99</v>
      </c>
      <c r="D26" s="38"/>
    </row>
    <row r="27" spans="1:4">
      <c r="A27" s="39"/>
      <c r="B27" s="407" t="s">
        <v>521</v>
      </c>
      <c r="C27" s="35" t="str">
        <f>C8</f>
        <v>原煤</v>
      </c>
      <c r="D27" s="408">
        <f>'LC for SE'!K15</f>
        <v>0</v>
      </c>
    </row>
    <row r="28" spans="1:4">
      <c r="A28" s="39"/>
      <c r="B28" s="35"/>
      <c r="C28" s="35" t="str">
        <f t="shared" ref="C28:C35" si="8">C9</f>
        <v>原始天然气</v>
      </c>
      <c r="D28" s="408">
        <f>'LC for SE'!K16</f>
        <v>0</v>
      </c>
    </row>
    <row r="29" spans="1:4">
      <c r="A29" s="39"/>
      <c r="B29" s="35"/>
      <c r="C29" s="35" t="str">
        <f t="shared" si="8"/>
        <v>原油</v>
      </c>
      <c r="D29" s="408">
        <f>'LC for SE'!K17</f>
        <v>0</v>
      </c>
    </row>
    <row r="30" spans="1:4">
      <c r="A30" s="39"/>
      <c r="B30" s="35"/>
      <c r="C30" s="35" t="str">
        <f t="shared" si="8"/>
        <v>精煤</v>
      </c>
      <c r="D30" s="408">
        <f>'LC for SE'!K18</f>
        <v>0</v>
      </c>
    </row>
    <row r="31" spans="1:4">
      <c r="A31" s="39"/>
      <c r="B31" s="35"/>
      <c r="C31" s="35" t="str">
        <f t="shared" si="8"/>
        <v>精制天然气</v>
      </c>
      <c r="D31" s="408">
        <f>'LC for SE'!K19</f>
        <v>0</v>
      </c>
    </row>
    <row r="32" spans="1:4">
      <c r="A32" s="39"/>
      <c r="B32" s="35"/>
      <c r="C32" s="35" t="str">
        <f t="shared" si="8"/>
        <v>柴油</v>
      </c>
      <c r="D32" s="408">
        <f>'LC for SE'!K20</f>
        <v>0.03</v>
      </c>
    </row>
    <row r="33" spans="1:16">
      <c r="A33" s="39"/>
      <c r="B33" s="35"/>
      <c r="C33" s="35" t="str">
        <f t="shared" si="8"/>
        <v>汽油</v>
      </c>
      <c r="D33" s="408">
        <f>'LC for SE'!K21</f>
        <v>0</v>
      </c>
    </row>
    <row r="34" spans="1:16">
      <c r="A34" s="39"/>
      <c r="B34" s="35"/>
      <c r="C34" s="35" t="str">
        <f t="shared" si="8"/>
        <v>燃料油</v>
      </c>
      <c r="D34" s="408">
        <f>'LC for SE'!K22</f>
        <v>0.72</v>
      </c>
    </row>
    <row r="35" spans="1:16">
      <c r="A35" s="39"/>
      <c r="B35" s="35"/>
      <c r="C35" s="35" t="str">
        <f t="shared" si="8"/>
        <v>电力</v>
      </c>
      <c r="D35" s="408">
        <f>'LC for SE'!K23</f>
        <v>0.25</v>
      </c>
    </row>
    <row r="36" spans="1:16">
      <c r="A36" s="39"/>
      <c r="B36" s="407" t="s">
        <v>522</v>
      </c>
      <c r="C36" s="35" t="str">
        <f>C17</f>
        <v>LCA-Coal</v>
      </c>
      <c r="D36" s="40">
        <f>SUMPRODUCT(D27:D35,'LC factor'!B4:B12)*(1/C26-1)</f>
        <v>6.5175325170390933E-3</v>
      </c>
    </row>
    <row r="37" spans="1:16">
      <c r="A37" s="39"/>
      <c r="B37" s="35"/>
      <c r="C37" s="35" t="str">
        <f>C18</f>
        <v>LCA-NG</v>
      </c>
      <c r="D37" s="40">
        <f>SUMPRODUCT(D27:D35,'LC factor'!C4:C12)*(1/C26-1)</f>
        <v>8.1239985807324982E-4</v>
      </c>
    </row>
    <row r="38" spans="1:16">
      <c r="A38" s="39"/>
      <c r="B38" s="35"/>
      <c r="C38" s="35" t="str">
        <f>C19</f>
        <v>LCA-Oil</v>
      </c>
      <c r="D38" s="40">
        <f>SUMPRODUCT(D27:D35,'LC factor'!D4:D12)*(1/C26-1)</f>
        <v>8.5414646601646282E-3</v>
      </c>
    </row>
    <row r="39" spans="1:16">
      <c r="A39" s="39"/>
      <c r="B39" s="35"/>
      <c r="C39" s="35" t="str">
        <f>C20</f>
        <v>LCA-PE</v>
      </c>
      <c r="D39" s="409">
        <f>D36+D37+D38</f>
        <v>1.5871397035276971E-2</v>
      </c>
    </row>
    <row r="40" spans="1:16">
      <c r="A40" s="39"/>
      <c r="B40" s="35"/>
      <c r="C40" s="35"/>
      <c r="D40" s="40"/>
    </row>
    <row r="41" spans="1:16">
      <c r="A41" s="39"/>
      <c r="B41" s="35"/>
      <c r="C41" s="35" t="str">
        <f>C22</f>
        <v>LCA-CO2</v>
      </c>
      <c r="D41" s="40">
        <f>SUMPRODUCT(D27:D35,'LC factor'!L4:L12)*(1/C26-1)</f>
        <v>1.2215093615220507</v>
      </c>
    </row>
    <row r="42" spans="1:16">
      <c r="A42" s="39"/>
      <c r="B42" s="35"/>
      <c r="C42" s="35" t="str">
        <f>C23</f>
        <v>LCA-CH4</v>
      </c>
      <c r="D42" s="40">
        <f>SUMPRODUCT(D27:D35,'LC factor'!M4:M12)*(1/C26-1)</f>
        <v>2.8079841642347572E-3</v>
      </c>
    </row>
    <row r="43" spans="1:16">
      <c r="A43" s="39"/>
      <c r="B43" s="35"/>
      <c r="C43" s="35" t="str">
        <f>C24</f>
        <v>LCA-N2O</v>
      </c>
      <c r="D43" s="40">
        <f>SUMPRODUCT(D27:D35,'LC factor'!N4:N12)*(1/C26-1)</f>
        <v>1.9736668431812466E-5</v>
      </c>
    </row>
    <row r="44" spans="1:16" ht="15" thickBot="1">
      <c r="A44" s="41"/>
      <c r="B44" s="42"/>
      <c r="C44" s="42" t="str">
        <f>C25</f>
        <v>LCA-GHG</v>
      </c>
      <c r="D44" s="405">
        <f>(D41+D42*25+D43*0.298)</f>
        <v>1.2917148471551123</v>
      </c>
    </row>
    <row r="45" spans="1:16" ht="15" thickBot="1"/>
    <row r="46" spans="1:16">
      <c r="A46" s="521" t="s">
        <v>525</v>
      </c>
      <c r="B46" s="522"/>
      <c r="C46" s="522"/>
      <c r="D46" s="523"/>
      <c r="E46" s="488"/>
      <c r="F46" s="488"/>
      <c r="G46" s="488"/>
      <c r="H46" s="488"/>
      <c r="I46" s="488"/>
      <c r="J46" s="488"/>
      <c r="K46" s="488"/>
      <c r="L46" s="488"/>
      <c r="M46" s="488"/>
      <c r="N46" s="488"/>
      <c r="O46" s="488"/>
      <c r="P46" s="488"/>
    </row>
    <row r="47" spans="1:16">
      <c r="A47" s="488"/>
      <c r="B47" s="382" t="str">
        <f>'LC factor'!A9</f>
        <v>柴油</v>
      </c>
      <c r="C47" s="502">
        <f>'Key Input'!L7*100</f>
        <v>89.7</v>
      </c>
      <c r="D47" s="454" t="s">
        <v>526</v>
      </c>
      <c r="E47" s="488"/>
      <c r="F47" s="488"/>
      <c r="G47" s="488"/>
      <c r="H47" s="382" t="str">
        <f>'LC factor'!A10</f>
        <v>汽油</v>
      </c>
      <c r="I47" s="502">
        <f>'Key Input'!L6*100</f>
        <v>89.1</v>
      </c>
      <c r="J47" s="454" t="s">
        <v>526</v>
      </c>
      <c r="K47" s="488"/>
      <c r="L47" s="488"/>
      <c r="M47" s="488"/>
      <c r="N47" s="382" t="str">
        <f>'LC factor'!A11</f>
        <v>燃料油</v>
      </c>
      <c r="O47" s="502">
        <f>'LC for SE'!Q10</f>
        <v>94</v>
      </c>
      <c r="P47" s="454" t="s">
        <v>526</v>
      </c>
    </row>
    <row r="48" spans="1:16">
      <c r="B48" t="str">
        <f>H48</f>
        <v>能耗结构</v>
      </c>
      <c r="C48" t="str">
        <f>I48</f>
        <v>原煤</v>
      </c>
      <c r="D48">
        <f>J48</f>
        <v>5.5608010394595078E-2</v>
      </c>
      <c r="H48" t="str">
        <f>N48</f>
        <v>能耗结构</v>
      </c>
      <c r="I48" t="str">
        <f>O48</f>
        <v>原煤</v>
      </c>
      <c r="J48" s="464">
        <f>P48</f>
        <v>5.5608010394595078E-2</v>
      </c>
      <c r="M48" s="39"/>
      <c r="N48" s="407" t="s">
        <v>527</v>
      </c>
      <c r="O48" s="35" t="str">
        <f>'LC for SE'!A15</f>
        <v>原煤</v>
      </c>
      <c r="P48" s="408">
        <f>'LC for SE'!L15</f>
        <v>5.5608010394595078E-2</v>
      </c>
    </row>
    <row r="49" spans="2:16">
      <c r="C49" t="str">
        <f t="shared" ref="C49:D56" si="9">I49</f>
        <v>原始天然气</v>
      </c>
      <c r="D49">
        <f t="shared" si="9"/>
        <v>0</v>
      </c>
      <c r="I49" t="str">
        <f t="shared" ref="I49:J56" si="10">O49</f>
        <v>原始天然气</v>
      </c>
      <c r="J49">
        <f t="shared" si="10"/>
        <v>0</v>
      </c>
      <c r="M49" s="39"/>
      <c r="N49" s="407"/>
      <c r="O49" s="35" t="str">
        <f>'LC for SE'!A16</f>
        <v>原始天然气</v>
      </c>
      <c r="P49" s="408">
        <f>'LC for SE'!L16</f>
        <v>0</v>
      </c>
    </row>
    <row r="50" spans="2:16">
      <c r="C50" t="str">
        <f t="shared" si="9"/>
        <v>原油</v>
      </c>
      <c r="D50">
        <f t="shared" si="9"/>
        <v>0.79092999868530911</v>
      </c>
      <c r="I50" t="str">
        <f t="shared" si="10"/>
        <v>原油</v>
      </c>
      <c r="J50">
        <f t="shared" si="10"/>
        <v>0.79092999868530911</v>
      </c>
      <c r="M50" s="39"/>
      <c r="N50" s="35"/>
      <c r="O50" s="35" t="str">
        <f>'LC for SE'!A17</f>
        <v>原油</v>
      </c>
      <c r="P50" s="408">
        <f>'LC for SE'!L17</f>
        <v>0.79092999868530911</v>
      </c>
    </row>
    <row r="51" spans="2:16">
      <c r="C51" t="str">
        <f t="shared" si="9"/>
        <v>精煤</v>
      </c>
      <c r="D51">
        <f t="shared" si="9"/>
        <v>3.0320699210673235E-2</v>
      </c>
      <c r="I51" t="str">
        <f t="shared" si="10"/>
        <v>精煤</v>
      </c>
      <c r="J51">
        <f t="shared" si="10"/>
        <v>3.0320699210673235E-2</v>
      </c>
      <c r="M51" s="39"/>
      <c r="N51" s="35"/>
      <c r="O51" s="35" t="str">
        <f>'LC for SE'!A18</f>
        <v>精煤</v>
      </c>
      <c r="P51" s="408">
        <f>'LC for SE'!L18</f>
        <v>3.0320699210673235E-2</v>
      </c>
    </row>
    <row r="52" spans="2:16">
      <c r="C52" t="str">
        <f t="shared" si="9"/>
        <v>精制天然气</v>
      </c>
      <c r="D52" s="464">
        <f>J52</f>
        <v>3.5408723742464003E-2</v>
      </c>
      <c r="I52" t="str">
        <f t="shared" si="10"/>
        <v>精制天然气</v>
      </c>
      <c r="J52" s="464">
        <f>P52</f>
        <v>3.5408723742464003E-2</v>
      </c>
      <c r="M52" s="39"/>
      <c r="N52" s="35"/>
      <c r="O52" s="35" t="str">
        <f>'LC for SE'!A19</f>
        <v>精制天然气</v>
      </c>
      <c r="P52" s="408">
        <f>'LC for SE'!L19</f>
        <v>3.5408723742464003E-2</v>
      </c>
    </row>
    <row r="53" spans="2:16">
      <c r="C53" t="str">
        <f t="shared" si="9"/>
        <v>柴油</v>
      </c>
      <c r="D53">
        <f t="shared" si="9"/>
        <v>2.9341510596920888E-3</v>
      </c>
      <c r="I53" t="str">
        <f t="shared" si="10"/>
        <v>柴油</v>
      </c>
      <c r="J53">
        <f t="shared" si="10"/>
        <v>2.9341510596920888E-3</v>
      </c>
      <c r="M53" s="39"/>
      <c r="N53" s="35"/>
      <c r="O53" s="35" t="str">
        <f>'LC for SE'!A20</f>
        <v>柴油</v>
      </c>
      <c r="P53" s="408">
        <f>'LC for SE'!L20</f>
        <v>2.9341510596920888E-3</v>
      </c>
    </row>
    <row r="54" spans="2:16">
      <c r="C54" t="str">
        <f t="shared" si="9"/>
        <v>汽油</v>
      </c>
      <c r="D54">
        <f t="shared" si="9"/>
        <v>4.545074262962084E-3</v>
      </c>
      <c r="I54" t="str">
        <f t="shared" si="10"/>
        <v>汽油</v>
      </c>
      <c r="J54" s="464">
        <f>P54</f>
        <v>4.545074262962084E-3</v>
      </c>
      <c r="M54" s="39"/>
      <c r="N54" s="35"/>
      <c r="O54" s="35" t="str">
        <f>'LC for SE'!A21</f>
        <v>汽油</v>
      </c>
      <c r="P54" s="408">
        <f>'LC for SE'!L21</f>
        <v>4.545074262962084E-3</v>
      </c>
    </row>
    <row r="55" spans="2:16">
      <c r="C55" t="str">
        <f t="shared" si="9"/>
        <v>燃料油</v>
      </c>
      <c r="D55">
        <f t="shared" si="9"/>
        <v>2.0938586860944974E-2</v>
      </c>
      <c r="I55" t="str">
        <f t="shared" si="10"/>
        <v>燃料油</v>
      </c>
      <c r="J55">
        <f t="shared" si="10"/>
        <v>2.0938586860944974E-2</v>
      </c>
      <c r="M55" s="39"/>
      <c r="N55" s="35"/>
      <c r="O55" s="35" t="str">
        <f>'LC for SE'!A22</f>
        <v>燃料油</v>
      </c>
      <c r="P55" s="408">
        <f>'LC for SE'!L22</f>
        <v>2.0938586860944974E-2</v>
      </c>
    </row>
    <row r="56" spans="2:16" ht="15" thickBot="1">
      <c r="C56" t="str">
        <f t="shared" si="9"/>
        <v>电力</v>
      </c>
      <c r="D56">
        <f t="shared" si="9"/>
        <v>5.9314755783359423E-2</v>
      </c>
      <c r="I56" t="str">
        <f t="shared" si="10"/>
        <v>电力</v>
      </c>
      <c r="J56">
        <f t="shared" si="10"/>
        <v>5.9314755783359423E-2</v>
      </c>
      <c r="M56" s="41"/>
      <c r="N56" s="42"/>
      <c r="O56" s="42" t="str">
        <f>'LC for SE'!A23</f>
        <v>电力</v>
      </c>
      <c r="P56" s="413">
        <f>'LC for SE'!L23</f>
        <v>5.9314755783359423E-2</v>
      </c>
    </row>
    <row r="57" spans="2:16">
      <c r="B57" t="str">
        <f>H57</f>
        <v>对应得到1MJ</v>
      </c>
      <c r="C57" t="str">
        <f>I57</f>
        <v>LCA-Coal</v>
      </c>
      <c r="D57" s="40">
        <f>SUMPRODUCT(D48:D56,'LC factor'!B4:B12)*(100/C47-1)</f>
        <v>3.0192737536267684E-2</v>
      </c>
      <c r="H57" t="str">
        <f>N57</f>
        <v>对应得到1MJ</v>
      </c>
      <c r="I57" t="str">
        <f>O57</f>
        <v>LCA-Coal</v>
      </c>
      <c r="J57" s="40">
        <f>SUMPRODUCT(J48:J56,'LC factor'!B4:B12)*(100/I47-1)</f>
        <v>3.21666996516786E-2</v>
      </c>
      <c r="N57" s="407" t="s">
        <v>540</v>
      </c>
      <c r="O57" s="35" t="str">
        <f>C36</f>
        <v>LCA-Coal</v>
      </c>
      <c r="P57" s="40">
        <f>SUMPRODUCT(P48:P56,'LC factor'!B4:B12)*(100/O47-1)</f>
        <v>1.678344488950554E-2</v>
      </c>
    </row>
    <row r="58" spans="2:16">
      <c r="C58" t="str">
        <f>I58</f>
        <v>LCA-NG</v>
      </c>
      <c r="D58" s="40">
        <f>SUMPRODUCT(D48:D56,'LC factor'!C4:C12)*(100/C47-1)</f>
        <v>9.1354134032836688E-3</v>
      </c>
      <c r="I58" t="str">
        <f>O58</f>
        <v>LCA-NG</v>
      </c>
      <c r="J58" s="40">
        <f>SUMPRODUCT(J48:J56,'LC factor'!C4:C12)*(100/I47-1)</f>
        <v>9.7326749117851025E-3</v>
      </c>
      <c r="N58" s="35"/>
      <c r="O58" s="35" t="str">
        <f>C37</f>
        <v>LCA-NG</v>
      </c>
      <c r="P58" s="40">
        <f>SUMPRODUCT(P48:P56,'LC factor'!C4:C12)*(100/O47-1)</f>
        <v>5.0781651452667526E-3</v>
      </c>
    </row>
    <row r="59" spans="2:16">
      <c r="C59" t="str">
        <f>I59</f>
        <v>LCA-Oil</v>
      </c>
      <c r="D59" s="40">
        <f>SUMPRODUCT(D48:D56,'LC factor'!D4:D12)*(100/C47-1)</f>
        <v>9.8237511507565378E-2</v>
      </c>
      <c r="I59" t="str">
        <f>O59</f>
        <v>LCA-Oil</v>
      </c>
      <c r="J59" s="40">
        <f>SUMPRODUCT(J48:J56,'LC factor'!D4:D12)*(100/I47-1)</f>
        <v>0.10466015290585673</v>
      </c>
      <c r="N59" s="35"/>
      <c r="O59" s="35" t="str">
        <f>C38</f>
        <v>LCA-Oil</v>
      </c>
      <c r="P59" s="40">
        <f>SUMPRODUCT(P48:P56,'LC factor'!D4:D12)*(100/O47-1)</f>
        <v>5.4607961881193628E-2</v>
      </c>
    </row>
    <row r="60" spans="2:16">
      <c r="C60" t="str">
        <f>I60</f>
        <v>LCA-PE</v>
      </c>
      <c r="D60" s="409">
        <f>D57+D58+D59</f>
        <v>0.13756566244711674</v>
      </c>
      <c r="I60" t="str">
        <f>O60</f>
        <v>LCA-PE</v>
      </c>
      <c r="J60" s="409">
        <f>J57+J58+J59</f>
        <v>0.14655952746932044</v>
      </c>
      <c r="N60" s="35"/>
      <c r="O60" s="35" t="str">
        <f>C39</f>
        <v>LCA-PE</v>
      </c>
      <c r="P60" s="409">
        <f>P57+P58+P59</f>
        <v>7.6469571915965928E-2</v>
      </c>
    </row>
    <row r="61" spans="2:16">
      <c r="D61" s="40"/>
      <c r="J61" s="40"/>
      <c r="N61" s="35"/>
      <c r="O61" s="35"/>
      <c r="P61" s="40"/>
    </row>
    <row r="62" spans="2:16">
      <c r="C62" t="str">
        <f>I62</f>
        <v>LCA-CO2</v>
      </c>
      <c r="D62" s="40">
        <f>SUMPRODUCT(D48:D56,'LC factor'!L4:L12)*(100/C47-1)</f>
        <v>10.049833925618231</v>
      </c>
      <c r="I62" t="str">
        <f>O62</f>
        <v>LCA-CO2</v>
      </c>
      <c r="J62" s="40">
        <f>SUMPRODUCT(J48:J56,'LC factor'!L4:L12)*(100/I47-1)</f>
        <v>10.706879064751847</v>
      </c>
      <c r="N62" s="35"/>
      <c r="O62" s="35" t="str">
        <f>C41</f>
        <v>LCA-CO2</v>
      </c>
      <c r="P62" s="40">
        <f>SUMPRODUCT(P48:P56,'LC factor'!L4:L12)*(100/O47-1)</f>
        <v>5.586470376748327</v>
      </c>
    </row>
    <row r="63" spans="2:16">
      <c r="C63" t="str">
        <f>I63</f>
        <v>LCA-CH4</v>
      </c>
      <c r="D63" s="40">
        <f>SUMPRODUCT(D48:D56,'LC factor'!M4:M12)*(100/C47-1)</f>
        <v>1.4087571962384245E-2</v>
      </c>
      <c r="I63" t="str">
        <f>O63</f>
        <v>LCA-CH4</v>
      </c>
      <c r="J63" s="40">
        <f>SUMPRODUCT(J48:J56,'LC factor'!M4:M12)*(100/I47-1)</f>
        <v>1.500859919015609E-2</v>
      </c>
      <c r="N63" s="35"/>
      <c r="O63" s="35" t="str">
        <f>C42</f>
        <v>LCA-CH4</v>
      </c>
      <c r="P63" s="40">
        <f>SUMPRODUCT(P48:P56,'LC factor'!M4:M12)*(100/O47-1)</f>
        <v>7.8309556188341234E-3</v>
      </c>
    </row>
    <row r="64" spans="2:16">
      <c r="C64" t="str">
        <f>I64</f>
        <v>LCA-N2O</v>
      </c>
      <c r="D64" s="40">
        <f>SUMPRODUCT(D48:D56,'LC factor'!N4:N12)*(100/C47-1)</f>
        <v>7.8153805845627351E-5</v>
      </c>
      <c r="I64" t="str">
        <f>O64</f>
        <v>LCA-N2O</v>
      </c>
      <c r="J64" s="40">
        <f>SUMPRODUCT(J48:J56,'LC factor'!N4:N12)*(100/I47-1)</f>
        <v>8.3263400552935213E-5</v>
      </c>
      <c r="N64" s="35"/>
      <c r="O64" s="35" t="str">
        <f>C43</f>
        <v>LCA-N2O</v>
      </c>
      <c r="P64" s="40">
        <f>SUMPRODUCT(P48:P56,'LC factor'!N4:N12)*(100/O47-1)</f>
        <v>4.3443894139761029E-5</v>
      </c>
    </row>
    <row r="65" spans="1:16" ht="15" thickBot="1">
      <c r="C65" t="str">
        <f>I65</f>
        <v>LCA-GHG</v>
      </c>
      <c r="D65" s="405">
        <f>(D62+D63*25+D64*0.298)</f>
        <v>10.402046514511978</v>
      </c>
      <c r="I65" t="str">
        <f>O65</f>
        <v>LCA-GHG</v>
      </c>
      <c r="J65" s="405">
        <f>(J62+J63*25+J64*0.298)</f>
        <v>11.082118856999115</v>
      </c>
      <c r="N65" s="42"/>
      <c r="O65" s="35" t="str">
        <f>C44</f>
        <v>LCA-GHG</v>
      </c>
      <c r="P65" s="405">
        <f>(P62+P63*25+P64*0.298)</f>
        <v>5.7822572134996344</v>
      </c>
    </row>
    <row r="68" spans="1:16" ht="15" thickBot="1"/>
    <row r="69" spans="1:16">
      <c r="A69" s="406" t="s">
        <v>528</v>
      </c>
      <c r="B69" s="37"/>
      <c r="C69" s="37"/>
      <c r="D69" s="411" t="s">
        <v>530</v>
      </c>
      <c r="E69" s="411" t="s">
        <v>516</v>
      </c>
      <c r="F69" s="414" t="s">
        <v>531</v>
      </c>
    </row>
    <row r="70" spans="1:16">
      <c r="A70" s="39"/>
      <c r="B70" s="407" t="s">
        <v>529</v>
      </c>
      <c r="C70" s="35" t="str">
        <f t="shared" ref="C70:C78" si="11">O48</f>
        <v>原煤</v>
      </c>
      <c r="D70" s="35"/>
      <c r="E70" s="35"/>
      <c r="F70" s="40"/>
    </row>
    <row r="71" spans="1:16">
      <c r="A71" s="39"/>
      <c r="B71" s="35"/>
      <c r="C71" s="35" t="str">
        <f t="shared" si="11"/>
        <v>原始天然气</v>
      </c>
      <c r="D71" s="35"/>
      <c r="E71" s="35"/>
      <c r="F71" s="40"/>
    </row>
    <row r="72" spans="1:16">
      <c r="A72" s="39"/>
      <c r="B72" s="35"/>
      <c r="C72" s="35" t="str">
        <f t="shared" si="11"/>
        <v>原油</v>
      </c>
      <c r="D72" s="35"/>
      <c r="E72" s="35"/>
      <c r="F72" s="40"/>
    </row>
    <row r="73" spans="1:16">
      <c r="A73" s="39"/>
      <c r="B73" s="35"/>
      <c r="C73" s="35" t="str">
        <f t="shared" si="11"/>
        <v>精煤</v>
      </c>
      <c r="D73" s="35"/>
      <c r="E73" s="35"/>
      <c r="F73" s="40"/>
    </row>
    <row r="74" spans="1:16">
      <c r="A74" s="39"/>
      <c r="B74" s="35"/>
      <c r="C74" s="35" t="str">
        <f t="shared" si="11"/>
        <v>精制天然气</v>
      </c>
      <c r="D74" s="35"/>
      <c r="E74" s="35"/>
      <c r="F74" s="40"/>
    </row>
    <row r="75" spans="1:16">
      <c r="A75" s="39"/>
      <c r="B75" s="35"/>
      <c r="C75" s="35" t="str">
        <f t="shared" si="11"/>
        <v>柴油</v>
      </c>
      <c r="D75" s="35">
        <f>'T&amp;D'!C5</f>
        <v>0.51650816709968717</v>
      </c>
      <c r="E75" s="35">
        <f>'T&amp;D'!B5</f>
        <v>0.51650816709968717</v>
      </c>
      <c r="F75" s="40">
        <f>D75</f>
        <v>0.51650816709968717</v>
      </c>
    </row>
    <row r="76" spans="1:16">
      <c r="A76" s="39"/>
      <c r="B76" s="35"/>
      <c r="C76" s="35" t="str">
        <f t="shared" si="11"/>
        <v>汽油</v>
      </c>
      <c r="D76" s="35">
        <v>0</v>
      </c>
      <c r="E76" s="35">
        <v>0</v>
      </c>
      <c r="F76" s="40">
        <f>D76</f>
        <v>0</v>
      </c>
    </row>
    <row r="77" spans="1:16">
      <c r="A77" s="39"/>
      <c r="B77" s="35"/>
      <c r="C77" s="35" t="str">
        <f t="shared" si="11"/>
        <v>燃料油</v>
      </c>
      <c r="D77" s="35">
        <f>'T&amp;D'!C6</f>
        <v>3.6591859249569119</v>
      </c>
      <c r="E77" s="35">
        <f>'T&amp;D'!B6</f>
        <v>3.6591859249569119</v>
      </c>
      <c r="F77" s="40">
        <f>D77</f>
        <v>3.6591859249569119</v>
      </c>
    </row>
    <row r="78" spans="1:16" ht="15" thickBot="1">
      <c r="A78" s="41"/>
      <c r="B78" s="42"/>
      <c r="C78" s="42" t="str">
        <f t="shared" si="11"/>
        <v>电力</v>
      </c>
      <c r="D78" s="42">
        <f>'T&amp;D'!C7</f>
        <v>0.84653858994676257</v>
      </c>
      <c r="E78" s="42">
        <f>'T&amp;D'!B7</f>
        <v>0.84653858994676257</v>
      </c>
      <c r="F78" s="43">
        <f>D78</f>
        <v>0.84653858994676257</v>
      </c>
    </row>
    <row r="79" spans="1:16">
      <c r="B79" s="407" t="s">
        <v>522</v>
      </c>
      <c r="C79" s="35" t="str">
        <f>C36</f>
        <v>LCA-Coal</v>
      </c>
      <c r="D79" s="40">
        <f>SUMPRODUCT(D70:D78,'LC factor'!B4:B12)/1000</f>
        <v>2.2847998565108316E-3</v>
      </c>
      <c r="E79" s="40">
        <f>SUMPRODUCT(E70:E78,'LC factor'!B4:B12)/1000</f>
        <v>2.2847998565108316E-3</v>
      </c>
      <c r="F79" s="40">
        <f>SUMPRODUCT(F70:F78,'LC factor'!B4:B12)/1000</f>
        <v>2.2847998565108316E-3</v>
      </c>
    </row>
    <row r="80" spans="1:16">
      <c r="B80" s="35"/>
      <c r="C80" s="35" t="str">
        <f>C37</f>
        <v>LCA-NG</v>
      </c>
      <c r="D80" s="40">
        <f>SUMPRODUCT(D70:D78,'LC factor'!C4:C12)/1000</f>
        <v>3.4743223043014068E-4</v>
      </c>
      <c r="E80" s="40">
        <f>SUMPRODUCT(E70:E78,'LC factor'!C4:C12)/1000</f>
        <v>3.4743223043014068E-4</v>
      </c>
      <c r="F80" s="40">
        <f>SUMPRODUCT(F70:F78,'LC factor'!C4:C12)/1000</f>
        <v>3.4743223043014068E-4</v>
      </c>
    </row>
    <row r="81" spans="2:6">
      <c r="B81" s="35"/>
      <c r="C81" s="35" t="str">
        <f>C38</f>
        <v>LCA-Oil</v>
      </c>
      <c r="D81" s="40">
        <f>SUMPRODUCT(D70:D78,'LC factor'!D4:D12)/1000</f>
        <v>4.6863196254656658E-3</v>
      </c>
      <c r="E81" s="40">
        <f>SUMPRODUCT(E70:E78,'LC factor'!D4:D12)/1000</f>
        <v>4.6863196254656658E-3</v>
      </c>
      <c r="F81" s="40">
        <f>SUMPRODUCT(F70:F78,'LC factor'!D4:D12)/1000</f>
        <v>4.6863196254656658E-3</v>
      </c>
    </row>
    <row r="82" spans="2:6">
      <c r="B82" s="35"/>
      <c r="C82" s="35" t="str">
        <f>C39</f>
        <v>LCA-PE</v>
      </c>
      <c r="D82" s="409">
        <f>D79+D80+D81</f>
        <v>7.3185517124066384E-3</v>
      </c>
      <c r="E82" s="409">
        <f>E79+E80+E81</f>
        <v>7.3185517124066384E-3</v>
      </c>
      <c r="F82" s="409">
        <f>F79+F80+F81</f>
        <v>7.3185517124066384E-3</v>
      </c>
    </row>
    <row r="83" spans="2:6">
      <c r="B83" s="35"/>
      <c r="C83" s="35"/>
      <c r="D83" s="40"/>
      <c r="E83" s="40"/>
      <c r="F83" s="40"/>
    </row>
    <row r="84" spans="2:6">
      <c r="B84" s="35"/>
      <c r="C84" s="35" t="str">
        <f>C41</f>
        <v>LCA-CO2</v>
      </c>
      <c r="D84" s="40">
        <f>SUMPRODUCT(D70:D78,'LC factor'!L4:L12)/1000</f>
        <v>0.55806620693335285</v>
      </c>
      <c r="E84" s="40">
        <f>SUMPRODUCT(E70:E78,'LC factor'!L4:L12)/1000</f>
        <v>0.55806620693335285</v>
      </c>
      <c r="F84" s="40">
        <f>SUMPRODUCT(F70:F78,'LC factor'!L4:L12)/1000</f>
        <v>0.55806620693335285</v>
      </c>
    </row>
    <row r="85" spans="2:6">
      <c r="B85" s="35"/>
      <c r="C85" s="35" t="str">
        <f>C42</f>
        <v>LCA-CH4</v>
      </c>
      <c r="D85" s="40">
        <f>SUMPRODUCT(D70:D78,'LC factor'!M4:M12)/1000</f>
        <v>1.0085557508089156E-3</v>
      </c>
      <c r="E85" s="40">
        <f>SUMPRODUCT(E70:E78,'LC factor'!M4:M12)/1000</f>
        <v>1.0085557508089156E-3</v>
      </c>
      <c r="F85" s="40">
        <f>SUMPRODUCT(F70:F78,'LC factor'!M4:M12)/1000</f>
        <v>1.0085557508089156E-3</v>
      </c>
    </row>
    <row r="86" spans="2:6">
      <c r="B86" s="35"/>
      <c r="C86" s="35" t="str">
        <f>C43</f>
        <v>LCA-N2O</v>
      </c>
      <c r="D86" s="40">
        <f>SUMPRODUCT(D70:D78,'LC factor'!N4:N12)/1000</f>
        <v>1.8858934965282446E-5</v>
      </c>
      <c r="E86" s="40">
        <f>SUMPRODUCT(E70:E78,'LC factor'!N4:N12)/1000</f>
        <v>1.8858934965282446E-5</v>
      </c>
      <c r="F86" s="40">
        <f>SUMPRODUCT(F70:F78,'LC factor'!N4:N12)/1000</f>
        <v>1.8858934965282446E-5</v>
      </c>
    </row>
    <row r="87" spans="2:6" ht="15" thickBot="1">
      <c r="B87" s="42"/>
      <c r="C87" s="35" t="str">
        <f>C44</f>
        <v>LCA-GHG</v>
      </c>
      <c r="D87" s="405">
        <f>(D84+D85*25+D86*0.298)</f>
        <v>0.58328572066619533</v>
      </c>
      <c r="E87" s="405">
        <f t="shared" ref="E87:F87" si="12">(E84+E85*25+E86*0.298)</f>
        <v>0.58328572066619533</v>
      </c>
      <c r="F87" s="405">
        <f t="shared" si="12"/>
        <v>0.58328572066619533</v>
      </c>
    </row>
  </sheetData>
  <phoneticPr fontId="38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A43" zoomScale="90" zoomScaleNormal="90" workbookViewId="0">
      <selection activeCell="K62" sqref="K62"/>
    </sheetView>
  </sheetViews>
  <sheetFormatPr defaultRowHeight="14.4"/>
  <cols>
    <col min="1" max="1" width="11.44140625" customWidth="1"/>
    <col min="2" max="2" width="12.44140625" customWidth="1"/>
    <col min="3" max="3" width="20.33203125" bestFit="1" customWidth="1"/>
    <col min="4" max="4" width="14" customWidth="1"/>
    <col min="11" max="11" width="10.44140625" bestFit="1" customWidth="1"/>
    <col min="12" max="13" width="11.109375" bestFit="1" customWidth="1"/>
  </cols>
  <sheetData>
    <row r="1" spans="1:22">
      <c r="B1" s="533" t="s">
        <v>692</v>
      </c>
      <c r="C1">
        <f>'LC for SE'!Q11</f>
        <v>36.4</v>
      </c>
      <c r="D1">
        <f>'LC for SE'!Q12</f>
        <v>45.9</v>
      </c>
      <c r="E1">
        <f>'LC for SE'!Q13</f>
        <v>32</v>
      </c>
      <c r="P1" s="433" t="s">
        <v>575</v>
      </c>
      <c r="Q1" s="33"/>
      <c r="R1" s="33"/>
      <c r="S1" s="33"/>
      <c r="T1" s="33"/>
      <c r="U1" s="33"/>
      <c r="V1" s="33"/>
    </row>
    <row r="2" spans="1:22" ht="15" thickBot="1">
      <c r="B2" s="403" t="s">
        <v>559</v>
      </c>
      <c r="C2">
        <f>'LC for SE'!S11</f>
        <v>93.5</v>
      </c>
      <c r="D2">
        <f>'LC for SE'!S12</f>
        <v>93.5</v>
      </c>
      <c r="E2">
        <f>'LC for SE'!S13</f>
        <v>93.5</v>
      </c>
      <c r="P2" s="33"/>
      <c r="Q2" s="433" t="s">
        <v>573</v>
      </c>
      <c r="R2" s="433"/>
      <c r="S2" s="433" t="s">
        <v>572</v>
      </c>
      <c r="T2" s="433"/>
      <c r="U2" s="433" t="s">
        <v>574</v>
      </c>
      <c r="V2" s="33"/>
    </row>
    <row r="3" spans="1:22" ht="15.6" thickTop="1" thickBot="1">
      <c r="A3" s="156"/>
      <c r="B3" s="729"/>
      <c r="C3" s="731" t="s">
        <v>307</v>
      </c>
      <c r="D3" s="731"/>
      <c r="E3" s="731"/>
      <c r="F3" s="731"/>
      <c r="G3" s="731"/>
      <c r="H3" s="731"/>
      <c r="I3" s="731"/>
      <c r="K3" s="403" t="s">
        <v>577</v>
      </c>
      <c r="L3" s="138" t="s">
        <v>321</v>
      </c>
      <c r="M3" s="403" t="s">
        <v>566</v>
      </c>
      <c r="P3" s="433" t="s">
        <v>571</v>
      </c>
      <c r="Q3" s="33">
        <f>SUM(Q4:Q7)</f>
        <v>1.0608</v>
      </c>
      <c r="R3" s="33"/>
      <c r="S3" s="33">
        <f>SUM(S4:S7)</f>
        <v>1.081</v>
      </c>
      <c r="T3" s="33"/>
      <c r="U3" s="33">
        <f>SUM(U4:U7)</f>
        <v>1.0580699999999998</v>
      </c>
      <c r="V3" s="33"/>
    </row>
    <row r="4" spans="1:22" ht="15" thickBot="1">
      <c r="A4" s="157"/>
      <c r="B4" s="730"/>
      <c r="C4" s="158" t="s">
        <v>308</v>
      </c>
      <c r="D4" s="159" t="s">
        <v>310</v>
      </c>
      <c r="E4" s="159" t="s">
        <v>309</v>
      </c>
      <c r="F4" s="159" t="s">
        <v>311</v>
      </c>
      <c r="G4" s="159" t="s">
        <v>312</v>
      </c>
      <c r="H4" s="159" t="s">
        <v>313</v>
      </c>
      <c r="I4" s="159" t="s">
        <v>314</v>
      </c>
      <c r="P4" s="433" t="s">
        <v>567</v>
      </c>
      <c r="Q4" s="433">
        <v>1.04</v>
      </c>
      <c r="R4" s="434">
        <f>Q4/Q3</f>
        <v>0.98039215686274517</v>
      </c>
      <c r="S4" s="530">
        <v>1.016</v>
      </c>
      <c r="T4" s="531">
        <f>S4/S3</f>
        <v>0.93987049028677161</v>
      </c>
      <c r="U4" s="33">
        <v>0.71319999999999995</v>
      </c>
      <c r="V4" s="434">
        <f>U4/U3</f>
        <v>0.67405748201914817</v>
      </c>
    </row>
    <row r="5" spans="1:22">
      <c r="A5" s="160" t="s">
        <v>315</v>
      </c>
      <c r="B5" s="161" t="s">
        <v>4</v>
      </c>
      <c r="C5" s="425">
        <f t="shared" ref="C5:H5" si="0">C6+C7+C8</f>
        <v>3.2028929545580094</v>
      </c>
      <c r="D5" s="425">
        <f t="shared" si="0"/>
        <v>2.6559734483906734</v>
      </c>
      <c r="E5" s="425">
        <f t="shared" si="0"/>
        <v>4.0530592107975263</v>
      </c>
      <c r="F5" s="425">
        <f t="shared" si="0"/>
        <v>6.3E-2</v>
      </c>
      <c r="G5" s="425">
        <f t="shared" si="0"/>
        <v>7.5999999999999998E-2</v>
      </c>
      <c r="H5" s="425">
        <f t="shared" si="0"/>
        <v>0</v>
      </c>
      <c r="I5" s="425">
        <f>I6+I7+I8</f>
        <v>2.662555729682258</v>
      </c>
      <c r="K5" s="513">
        <f>0.94*C5+0.06*H5</f>
        <v>3.0107193772845284</v>
      </c>
      <c r="L5" s="165">
        <f>C5*0.98+H5*0.02</f>
        <v>3.1388350954668489</v>
      </c>
      <c r="M5" s="165">
        <f>C5*0.65</f>
        <v>2.0818804204627064</v>
      </c>
      <c r="P5" s="433" t="s">
        <v>568</v>
      </c>
      <c r="Q5" s="433">
        <v>6.4000000000000003E-3</v>
      </c>
      <c r="R5" s="434">
        <f>Q5/Q3</f>
        <v>6.0331825037707393E-3</v>
      </c>
      <c r="S5" s="530">
        <v>3.2000000000000001E-2</v>
      </c>
      <c r="T5" s="531">
        <f>S5/S3</f>
        <v>2.960222016651249E-2</v>
      </c>
      <c r="U5" s="33">
        <v>0.28749999999999998</v>
      </c>
      <c r="V5" s="434">
        <f>U5/U3</f>
        <v>0.27172115266475755</v>
      </c>
    </row>
    <row r="6" spans="1:22">
      <c r="A6" s="160" t="s">
        <v>316</v>
      </c>
      <c r="B6" s="161" t="s">
        <v>4</v>
      </c>
      <c r="C6" s="161">
        <f>Coal!I5/C1/C2*10000</f>
        <v>3.151540237025412</v>
      </c>
      <c r="D6" s="425">
        <f>('NG-based'!M13)/D1/D2*10000</f>
        <v>1.913318608005829E-2</v>
      </c>
      <c r="E6" s="161">
        <f>'Oil-based'!AA5/E1/E2*10000</f>
        <v>0.20163740767708865</v>
      </c>
      <c r="F6" s="511">
        <v>5.1999999999999998E-2</v>
      </c>
      <c r="G6" s="511">
        <v>0.01</v>
      </c>
      <c r="H6" s="511">
        <v>0</v>
      </c>
      <c r="I6" s="161">
        <f>'LC factor'!L15</f>
        <v>2.4073229729246317</v>
      </c>
      <c r="K6" s="513">
        <f t="shared" ref="K6:K12" si="1">0.94*C6+0.06*H6</f>
        <v>2.9624478228038873</v>
      </c>
      <c r="L6" s="165">
        <f t="shared" ref="L6:L12" si="2">C6*0.98+H6*0.02</f>
        <v>3.0885094322849036</v>
      </c>
      <c r="M6" s="165">
        <f t="shared" ref="M6:M12" si="3">C6*0.65+F6*0.05+H6*0.3</f>
        <v>2.0511011540665178</v>
      </c>
      <c r="P6" s="433" t="s">
        <v>569</v>
      </c>
      <c r="Q6" s="433"/>
      <c r="R6" s="433"/>
      <c r="S6" s="530"/>
      <c r="T6" s="530"/>
      <c r="U6" s="33">
        <v>5.5370000000000003E-2</v>
      </c>
      <c r="V6" s="33">
        <f>U6/U3</f>
        <v>5.2331131210600443E-2</v>
      </c>
    </row>
    <row r="7" spans="1:22">
      <c r="A7" s="162" t="s">
        <v>317</v>
      </c>
      <c r="B7" s="161" t="s">
        <v>4</v>
      </c>
      <c r="C7" s="161">
        <f>Coal!I6/C1/C2*10000</f>
        <v>8.0169281873447261E-3</v>
      </c>
      <c r="D7" s="425">
        <f>'NG-based'!M14/D1/D2*10000</f>
        <v>2.6232099456986799</v>
      </c>
      <c r="E7" s="161">
        <f>'Oil-based'!AA6/E1/E2*10000</f>
        <v>0.15766941811353696</v>
      </c>
      <c r="F7" s="511">
        <v>5.0000000000000001E-3</v>
      </c>
      <c r="G7" s="511">
        <v>2E-3</v>
      </c>
      <c r="H7" s="511">
        <v>0</v>
      </c>
      <c r="I7" s="161">
        <f>'LC factor'!L16</f>
        <v>0.18717839215522458</v>
      </c>
      <c r="K7" s="513">
        <f>0.94*C7+0.06*H7</f>
        <v>7.535912496104042E-3</v>
      </c>
      <c r="L7" s="165">
        <f>C7*0.98+H7*0.02</f>
        <v>7.856589623597832E-3</v>
      </c>
      <c r="M7" s="165">
        <f>C7*0.65+F7*0.05+H7*0.3</f>
        <v>5.4610033217740725E-3</v>
      </c>
      <c r="P7" s="433" t="s">
        <v>570</v>
      </c>
      <c r="Q7" s="433">
        <v>1.44E-2</v>
      </c>
      <c r="R7" s="433"/>
      <c r="S7" s="530">
        <v>3.3000000000000002E-2</v>
      </c>
      <c r="T7" s="530"/>
      <c r="U7" s="33">
        <v>2E-3</v>
      </c>
      <c r="V7" s="33"/>
    </row>
    <row r="8" spans="1:22">
      <c r="A8" s="162" t="s">
        <v>318</v>
      </c>
      <c r="B8" s="161" t="s">
        <v>4</v>
      </c>
      <c r="C8" s="161">
        <f>Coal!I7/C1/C2*10000</f>
        <v>4.3335789345252521E-2</v>
      </c>
      <c r="D8" s="425">
        <f>'NG-based'!M15/D1/D2*10000</f>
        <v>1.363031661193532E-2</v>
      </c>
      <c r="E8" s="161">
        <f>'Oil-based'!AA7/E1/E2*10000</f>
        <v>3.6937523850069005</v>
      </c>
      <c r="F8" s="511">
        <v>6.0000000000000001E-3</v>
      </c>
      <c r="G8" s="511">
        <v>6.4000000000000001E-2</v>
      </c>
      <c r="H8" s="511">
        <v>0</v>
      </c>
      <c r="I8" s="161">
        <f>'LC factor'!L17</f>
        <v>6.8054364602401593E-2</v>
      </c>
      <c r="K8" s="513">
        <f t="shared" si="1"/>
        <v>4.0735641984537364E-2</v>
      </c>
      <c r="L8" s="165">
        <f t="shared" si="2"/>
        <v>4.2469073558347468E-2</v>
      </c>
      <c r="M8" s="165">
        <f t="shared" si="3"/>
        <v>2.8468263074414142E-2</v>
      </c>
    </row>
    <row r="9" spans="1:22" ht="16.8" thickBot="1">
      <c r="A9" s="163" t="s">
        <v>261</v>
      </c>
      <c r="B9" s="164" t="s">
        <v>319</v>
      </c>
      <c r="C9" s="164">
        <f>Coal!I13/C1/C2*10000</f>
        <v>292.99622123707752</v>
      </c>
      <c r="D9" s="426">
        <f>'NG-based'!M21/D1/D2*10000</f>
        <v>155.62407482542889</v>
      </c>
      <c r="E9" s="164">
        <f>'Oil-based'!AA13/E1/E2*10000</f>
        <v>307.55539054510393</v>
      </c>
      <c r="F9" s="512">
        <v>6.5</v>
      </c>
      <c r="G9" s="512">
        <v>5.8</v>
      </c>
      <c r="H9" s="512">
        <v>5</v>
      </c>
      <c r="I9" s="164">
        <f>'LC factor'!L21</f>
        <v>237.06320573794014</v>
      </c>
      <c r="K9" s="513">
        <f t="shared" si="1"/>
        <v>275.71644796285284</v>
      </c>
      <c r="L9" s="166">
        <f>C9*0.98+H9*0.02</f>
        <v>287.23629681233598</v>
      </c>
      <c r="M9" s="166">
        <f>C9*0.65+F9*0.05+H9*0.3</f>
        <v>192.27254380410039</v>
      </c>
    </row>
    <row r="10" spans="1:22" ht="15.6" thickTop="1" thickBot="1">
      <c r="A10" s="472" t="s">
        <v>670</v>
      </c>
      <c r="B10" s="271"/>
      <c r="C10" s="271">
        <f>Coal!I10/C1/C2*10000</f>
        <v>260.89457835667628</v>
      </c>
      <c r="D10" s="473">
        <f>'NG-based'!M18/D1/D2*10000</f>
        <v>150.69570878078</v>
      </c>
      <c r="E10" s="271">
        <f>'Oil-based'!AA10/E1/E2*10000</f>
        <v>304.11687435522902</v>
      </c>
      <c r="F10" s="271">
        <f>F9</f>
        <v>6.5</v>
      </c>
      <c r="G10" s="271">
        <f>G9</f>
        <v>5.8</v>
      </c>
      <c r="H10" s="271">
        <v>5</v>
      </c>
      <c r="I10" s="271">
        <f>'LC factor'!L19</f>
        <v>0.99442789444789459</v>
      </c>
      <c r="K10" s="513">
        <f t="shared" si="1"/>
        <v>245.54090365527568</v>
      </c>
      <c r="L10" s="474">
        <f>C10*0.98+H10*0.02</f>
        <v>255.77668678954274</v>
      </c>
      <c r="M10" s="166">
        <f t="shared" si="3"/>
        <v>171.40647593183957</v>
      </c>
    </row>
    <row r="11" spans="1:22" ht="15.6" thickTop="1" thickBot="1">
      <c r="A11" s="472" t="s">
        <v>671</v>
      </c>
      <c r="B11" s="271"/>
      <c r="C11" s="271">
        <f>Coal!I11/C1/C2*10000</f>
        <v>1.28401729931706</v>
      </c>
      <c r="D11" s="473">
        <f>'NG-based'!M19/D1/D2*10000</f>
        <v>0.19713463700632164</v>
      </c>
      <c r="E11" s="271">
        <f>'Oil-based'!AA11/E1/E2*10000</f>
        <v>0.13752488079674843</v>
      </c>
      <c r="F11" s="271">
        <v>0</v>
      </c>
      <c r="G11" s="271">
        <v>0</v>
      </c>
      <c r="H11" s="271">
        <v>0</v>
      </c>
      <c r="I11" s="271">
        <f>'LC factor'!L19</f>
        <v>0.99442789444789459</v>
      </c>
      <c r="K11" s="513">
        <f t="shared" si="1"/>
        <v>1.2069762613580364</v>
      </c>
      <c r="L11" s="474">
        <f t="shared" si="2"/>
        <v>1.2583369533307187</v>
      </c>
      <c r="M11" s="166">
        <f t="shared" si="3"/>
        <v>0.83461124455608904</v>
      </c>
    </row>
    <row r="12" spans="1:22" ht="15.6" thickTop="1" thickBot="1">
      <c r="A12" s="472" t="s">
        <v>672</v>
      </c>
      <c r="B12" s="271"/>
      <c r="C12" s="271">
        <f>Coal!I12/C1/C2*10000</f>
        <v>4.0617364923745784E-3</v>
      </c>
      <c r="D12" s="473">
        <f>'NG-based'!M20/D1/D2*10000</f>
        <v>4.0097600313530095E-7</v>
      </c>
      <c r="E12" s="271">
        <f>'Oil-based'!AA12/E1/E2*10000</f>
        <v>1.3227179738686402E-3</v>
      </c>
      <c r="F12" s="271">
        <v>0</v>
      </c>
      <c r="G12" s="271">
        <v>0</v>
      </c>
      <c r="H12" s="271">
        <v>0</v>
      </c>
      <c r="I12" s="271">
        <f>'LC factor'!L20</f>
        <v>3.3408694757104565E-3</v>
      </c>
      <c r="K12" s="513">
        <f t="shared" si="1"/>
        <v>3.8180323028321034E-3</v>
      </c>
      <c r="L12" s="474">
        <f t="shared" si="2"/>
        <v>3.9805017625270866E-3</v>
      </c>
      <c r="M12" s="166">
        <f t="shared" si="3"/>
        <v>2.6401287200434761E-3</v>
      </c>
      <c r="Q12">
        <v>80.099999999999994</v>
      </c>
      <c r="R12" s="697">
        <f>Q12/$Q$15</f>
        <v>0.96973365617433416</v>
      </c>
    </row>
    <row r="13" spans="1:22" ht="15" thickTop="1">
      <c r="A13" s="429" t="s">
        <v>582</v>
      </c>
      <c r="B13" s="435" t="s">
        <v>585</v>
      </c>
      <c r="C13" s="427">
        <f>Coal!F14</f>
        <v>0.16970633728975101</v>
      </c>
      <c r="D13" s="427">
        <f>'NG-based'!J22</f>
        <v>0.14006330987653406</v>
      </c>
      <c r="E13" s="427">
        <f>'Oil-based'!V16</f>
        <v>0.16917905762537638</v>
      </c>
      <c r="I13" s="427">
        <f>(C13*80.1%+D13*0.7%+E13*1.8%)/82.6%</f>
        <v>0.16944363483714656</v>
      </c>
      <c r="K13" s="165">
        <f>K9*3.6</f>
        <v>992.57921266627022</v>
      </c>
      <c r="L13" s="165">
        <f>L9*3.6</f>
        <v>1034.0506685244095</v>
      </c>
      <c r="M13" s="165">
        <f>M9*3.6</f>
        <v>692.1811576947614</v>
      </c>
      <c r="Q13">
        <v>0.7</v>
      </c>
      <c r="R13" s="697">
        <f t="shared" ref="R13:R14" si="4">Q13/$Q$15</f>
        <v>8.4745762711864406E-3</v>
      </c>
    </row>
    <row r="14" spans="1:22" ht="16.8" thickBot="1">
      <c r="B14" s="435" t="s">
        <v>586</v>
      </c>
      <c r="C14" s="427">
        <f>Coal!G14</f>
        <v>1.1313894631127036E-2</v>
      </c>
      <c r="D14" s="427">
        <f>'NG-based'!K22</f>
        <v>1.51629738770899E-2</v>
      </c>
      <c r="E14" s="427">
        <f>'Oil-based'!W16</f>
        <v>6.3386447464313291E-3</v>
      </c>
      <c r="I14" s="427">
        <f>(C14*80.1%+D14*0.7%+E14*1.8%)/82.6%</f>
        <v>1.1238094457758051E-2</v>
      </c>
      <c r="K14" s="164" t="s">
        <v>576</v>
      </c>
      <c r="L14" s="164" t="s">
        <v>576</v>
      </c>
      <c r="M14" s="164" t="s">
        <v>576</v>
      </c>
      <c r="Q14">
        <v>1.8</v>
      </c>
      <c r="R14" s="697">
        <f t="shared" si="4"/>
        <v>2.1791767554479421E-2</v>
      </c>
    </row>
    <row r="15" spans="1:22" ht="15" thickTop="1">
      <c r="B15" s="435" t="s">
        <v>587</v>
      </c>
      <c r="C15" s="427">
        <f>Coal!H14</f>
        <v>0.81897976807912198</v>
      </c>
      <c r="D15" s="427">
        <f>'NG-based'!L22</f>
        <v>0.84477371624637598</v>
      </c>
      <c r="E15" s="427">
        <f>'Oil-based'!X16</f>
        <v>0.82448229762819225</v>
      </c>
      <c r="I15" s="427">
        <f>(C15*80.1%+D15*0.7%+E15*1.8%)/82.6%</f>
        <v>0.81931827070509533</v>
      </c>
      <c r="Q15">
        <f>SUM(Q12:Q14)</f>
        <v>82.6</v>
      </c>
    </row>
    <row r="16" spans="1:22">
      <c r="B16" s="403" t="s">
        <v>588</v>
      </c>
      <c r="C16" s="443">
        <f>C9*C13</f>
        <v>49.723315545881988</v>
      </c>
      <c r="D16" s="443">
        <f>D9*D13</f>
        <v>21.79722301652297</v>
      </c>
      <c r="E16" s="443">
        <f>E9*E13</f>
        <v>52.031931140025279</v>
      </c>
      <c r="F16" s="443"/>
      <c r="G16" s="443"/>
      <c r="H16" s="443"/>
      <c r="I16" s="443">
        <f>I9*I13</f>
        <v>40.168851266382873</v>
      </c>
    </row>
    <row r="17" spans="1:17">
      <c r="B17" s="403" t="s">
        <v>589</v>
      </c>
      <c r="C17" s="443">
        <f>C9*C14</f>
        <v>3.3149283743946807</v>
      </c>
      <c r="D17" s="443">
        <f>D9*D14</f>
        <v>2.3597237812242624</v>
      </c>
      <c r="E17" s="443">
        <f>E9*E14</f>
        <v>1.9494843605153587</v>
      </c>
      <c r="F17" s="443"/>
      <c r="G17" s="443"/>
      <c r="H17" s="443"/>
      <c r="I17" s="443">
        <f>I9*I14</f>
        <v>2.6641386985419016</v>
      </c>
    </row>
    <row r="18" spans="1:17">
      <c r="B18" s="403" t="s">
        <v>590</v>
      </c>
      <c r="C18" s="443">
        <f>C9*C15</f>
        <v>239.95797731680085</v>
      </c>
      <c r="D18" s="443">
        <f>D9*D15</f>
        <v>131.46712802768164</v>
      </c>
      <c r="E18" s="443">
        <f>E9*E15</f>
        <v>253.5739750445633</v>
      </c>
      <c r="F18" s="443"/>
      <c r="G18" s="443"/>
      <c r="H18" s="443"/>
      <c r="I18" s="443">
        <f>I9*I15</f>
        <v>194.23021577301535</v>
      </c>
    </row>
    <row r="21" spans="1:17">
      <c r="A21" s="533" t="s">
        <v>1053</v>
      </c>
      <c r="C21" t="str">
        <f>C4</f>
        <v>煤电</v>
      </c>
      <c r="D21" t="str">
        <f t="shared" ref="D21:I21" si="5">D4</f>
        <v>气电</v>
      </c>
      <c r="E21" t="str">
        <f t="shared" si="5"/>
        <v>油电</v>
      </c>
      <c r="F21" t="str">
        <f>K23</f>
        <v>东北电网</v>
      </c>
      <c r="G21" t="str">
        <f>K24</f>
        <v>华北电网</v>
      </c>
      <c r="H21" t="str">
        <f>K25</f>
        <v>南方电网</v>
      </c>
      <c r="I21" t="str">
        <f t="shared" si="5"/>
        <v>网电</v>
      </c>
      <c r="M21" t="str">
        <f>A5</f>
        <v>能源强度</v>
      </c>
      <c r="N21" t="str">
        <f>A6</f>
        <v>其中：煤炭</v>
      </c>
      <c r="O21" t="str">
        <f>A7</f>
        <v xml:space="preserve">     天然气</v>
      </c>
      <c r="P21" t="str">
        <f>A8</f>
        <v xml:space="preserve">     石油</v>
      </c>
      <c r="Q21" t="str">
        <f>A9</f>
        <v>碳强度</v>
      </c>
    </row>
    <row r="22" spans="1:17" ht="15" thickBot="1">
      <c r="A22" s="107" t="str">
        <f>A6</f>
        <v>其中：煤炭</v>
      </c>
      <c r="B22" s="108"/>
      <c r="C22" s="696">
        <f>'fuel summary'!E228/$C$1/$C$2*10000</f>
        <v>0.20639522372894564</v>
      </c>
      <c r="D22" s="696">
        <f>'fuel summary'!E10/$D$1/$D$2*10000/1000</f>
        <v>1.1456158166801596E-2</v>
      </c>
      <c r="E22" s="696">
        <f>'fuel summary'!E116/$E$1/$E$2*10000</f>
        <v>0.11473302941201838</v>
      </c>
      <c r="F22" s="108">
        <f>(C22*94%)</f>
        <v>0.19401151030520888</v>
      </c>
      <c r="G22" s="108">
        <f>(C22*98%)</f>
        <v>0.20226731925436672</v>
      </c>
      <c r="H22" s="108">
        <f>(C22*80.1%+D22*0.7%+E22*1.8%)</f>
        <v>0.1674679618434694</v>
      </c>
      <c r="I22" s="481">
        <f>(C22*'Key Input'!$E$34+D22*'Key Input'!$E$35+E22*'Key Input'!$E$36)</f>
        <v>0.16746796184346943</v>
      </c>
      <c r="N22" t="str">
        <f>B5</f>
        <v>MJ/MJ</v>
      </c>
      <c r="O22" t="str">
        <f>B6</f>
        <v>MJ/MJ</v>
      </c>
      <c r="P22" t="str">
        <f>B8</f>
        <v>MJ/MJ</v>
      </c>
      <c r="Q22" t="str">
        <f>B9</f>
        <v>gCO2,e /MJ</v>
      </c>
    </row>
    <row r="23" spans="1:17">
      <c r="A23" s="93" t="str">
        <f t="shared" ref="A23:A24" si="6">A7</f>
        <v xml:space="preserve">     天然气</v>
      </c>
      <c r="B23" s="35"/>
      <c r="C23" s="481">
        <f>'fuel summary'!E229/$C$1/$C$2*10000</f>
        <v>6.1382096990411535E-3</v>
      </c>
      <c r="D23" s="481">
        <f>'fuel summary'!E11/$D$1/$D$2*10000/1000</f>
        <v>0.26663807922321575</v>
      </c>
      <c r="E23" s="481">
        <f>'fuel summary'!E117/$E$1/$E$2*10000</f>
        <v>0.13664718367550244</v>
      </c>
      <c r="F23" s="108">
        <f t="shared" ref="F23:F25" si="7">(C23*94%)</f>
        <v>5.7699171170986843E-3</v>
      </c>
      <c r="G23" s="108">
        <f t="shared" ref="G23:G25" si="8">(C23*98%)</f>
        <v>6.0154455050603307E-3</v>
      </c>
      <c r="H23" s="108">
        <f t="shared" ref="H23:H25" si="9">(C23*80.1%+D23*0.7%+E23*1.8%)</f>
        <v>9.2428218296535178E-3</v>
      </c>
      <c r="I23" s="481">
        <f>(C23*'Key Input'!$E$34+D23*'Key Input'!$E$35+E23*'Key Input'!$E$36)</f>
        <v>9.2428218296535178E-3</v>
      </c>
      <c r="K23" s="406" t="s">
        <v>578</v>
      </c>
      <c r="L23" s="37"/>
      <c r="M23" s="430">
        <f>K5</f>
        <v>3.0107193772845284</v>
      </c>
      <c r="N23" s="430">
        <f>K6</f>
        <v>2.9624478228038873</v>
      </c>
      <c r="O23" s="430">
        <f>K7</f>
        <v>7.535912496104042E-3</v>
      </c>
      <c r="P23" s="430">
        <f>K8</f>
        <v>4.0735641984537364E-2</v>
      </c>
      <c r="Q23" s="444">
        <f>K9</f>
        <v>275.71644796285284</v>
      </c>
    </row>
    <row r="24" spans="1:17">
      <c r="A24" s="93" t="str">
        <f t="shared" si="6"/>
        <v xml:space="preserve">     石油</v>
      </c>
      <c r="B24" s="35"/>
      <c r="C24" s="481">
        <f>'fuel summary'!E230/$C$1/$C$2*10000</f>
        <v>8.0590804043520446E-3</v>
      </c>
      <c r="D24" s="481">
        <f>'fuel summary'!E12/$D$1/$D$2*10000/1000</f>
        <v>1.2252146494616343E-2</v>
      </c>
      <c r="E24" s="481">
        <f>'fuel summary'!E118/$E$1/$E$2*10000</f>
        <v>0.12296045305920826</v>
      </c>
      <c r="F24" s="108">
        <f t="shared" si="7"/>
        <v>7.5755355800909219E-3</v>
      </c>
      <c r="G24" s="108">
        <f t="shared" si="8"/>
        <v>7.897898796265004E-3</v>
      </c>
      <c r="H24" s="108">
        <f t="shared" si="9"/>
        <v>8.7543765844140496E-3</v>
      </c>
      <c r="I24" s="481">
        <f>(C24*'Key Input'!$E$34+D24*'Key Input'!$E$35+E24*'Key Input'!$E$36)</f>
        <v>8.7543765844140496E-3</v>
      </c>
      <c r="K24" s="39" t="s">
        <v>320</v>
      </c>
      <c r="L24" s="35"/>
      <c r="M24" s="431">
        <f>L5</f>
        <v>3.1388350954668489</v>
      </c>
      <c r="N24" s="431">
        <f>L6</f>
        <v>3.0885094322849036</v>
      </c>
      <c r="O24" s="431">
        <f>L7</f>
        <v>7.856589623597832E-3</v>
      </c>
      <c r="P24" s="431">
        <f>L8</f>
        <v>4.2469073558347468E-2</v>
      </c>
      <c r="Q24" s="445">
        <f>L9</f>
        <v>287.23629681233598</v>
      </c>
    </row>
    <row r="25" spans="1:17" ht="15" thickBot="1">
      <c r="A25" s="93" t="str">
        <f>A5</f>
        <v>能源强度</v>
      </c>
      <c r="B25" s="35"/>
      <c r="C25" s="481">
        <f>'fuel summary'!E231/$C$1/$C$2*10000</f>
        <v>0.22059251383233877</v>
      </c>
      <c r="D25" s="481">
        <f>'fuel summary'!E13/$D$1/$D$2*10000/1000</f>
        <v>0.29034638388463374</v>
      </c>
      <c r="E25" s="481">
        <f>'fuel summary'!E119/$E$1/$E$2*10000</f>
        <v>0.37434066614672912</v>
      </c>
      <c r="F25" s="108">
        <f t="shared" si="7"/>
        <v>0.20735696300239842</v>
      </c>
      <c r="G25" s="108">
        <f t="shared" si="8"/>
        <v>0.21618066355569199</v>
      </c>
      <c r="H25" s="108">
        <f t="shared" si="9"/>
        <v>0.18546516025753693</v>
      </c>
      <c r="I25" s="481">
        <f>(C25*'Key Input'!$E$34+D25*'Key Input'!$E$35+E25*'Key Input'!$E$36)</f>
        <v>0.18546516025753695</v>
      </c>
      <c r="K25" s="722" t="s">
        <v>1114</v>
      </c>
      <c r="L25" s="42"/>
      <c r="M25" s="432">
        <f>M5</f>
        <v>2.0818804204627064</v>
      </c>
      <c r="N25" s="432">
        <f>M6</f>
        <v>2.0511011540665178</v>
      </c>
      <c r="O25" s="432">
        <f>M7</f>
        <v>5.4610033217740725E-3</v>
      </c>
      <c r="P25" s="432">
        <f>M8</f>
        <v>2.8468263074414142E-2</v>
      </c>
      <c r="Q25" s="446">
        <f>M9</f>
        <v>192.27254380410039</v>
      </c>
    </row>
    <row r="26" spans="1:17">
      <c r="A26" s="93"/>
      <c r="B26" s="35"/>
      <c r="C26" s="481"/>
      <c r="D26" s="481"/>
      <c r="E26" s="271"/>
      <c r="F26" s="35"/>
      <c r="G26" s="35"/>
      <c r="H26" s="35"/>
      <c r="I26" s="84"/>
      <c r="K26" s="35"/>
      <c r="L26" s="35"/>
      <c r="M26" s="431"/>
      <c r="N26" s="431"/>
      <c r="O26" s="431"/>
      <c r="P26" s="431"/>
      <c r="Q26" s="484"/>
    </row>
    <row r="27" spans="1:17">
      <c r="A27" s="93" t="str">
        <f>A10</f>
        <v>其中：CO2</v>
      </c>
      <c r="B27" s="35"/>
      <c r="C27" s="481">
        <f>'fuel summary'!E233/$C$1/$C$2*10000</f>
        <v>17.786121827287008</v>
      </c>
      <c r="D27" s="481">
        <f>'fuel summary'!E15/$D$1/$D$2*10000/1000</f>
        <v>16.995738079246507</v>
      </c>
      <c r="E27" s="481">
        <f>'fuel summary'!E121/$E$1/$E$2*10000</f>
        <v>25.830283575859315</v>
      </c>
      <c r="F27" s="108">
        <f>(C27*94%)</f>
        <v>16.718954517649788</v>
      </c>
      <c r="G27" s="108">
        <f>(C27*98%)</f>
        <v>17.430399390741268</v>
      </c>
      <c r="H27" s="108">
        <f>(C27*80.1%+D27*0.7%+E27*1.8%)</f>
        <v>14.830598854577085</v>
      </c>
      <c r="I27" s="481">
        <f>(C27*'Key Input'!$E$34+D27*'Key Input'!$E$35+E27*'Key Input'!$E$36)</f>
        <v>14.830598854577087</v>
      </c>
      <c r="K27" s="364" t="s">
        <v>584</v>
      </c>
      <c r="Q27" s="443">
        <f>I9</f>
        <v>237.06320573794014</v>
      </c>
    </row>
    <row r="28" spans="1:17">
      <c r="A28" s="93" t="str">
        <f>A11</f>
        <v>CH4</v>
      </c>
      <c r="B28" s="35"/>
      <c r="C28" s="481">
        <f>'fuel summary'!E234/$C$1/$C$2*10000</f>
        <v>1.2774831563704041</v>
      </c>
      <c r="D28" s="481">
        <f>'fuel summary'!E16/$D$1/$D$2*10000/1000</f>
        <v>0.19205939323433849</v>
      </c>
      <c r="E28" s="481">
        <f>'fuel summary'!E122/$E$1/$E$2*10000</f>
        <v>9.1312552703040312E-2</v>
      </c>
      <c r="F28" s="108">
        <f t="shared" ref="F28:F30" si="10">(C28*94%)</f>
        <v>1.2008341669881797</v>
      </c>
      <c r="G28" s="108">
        <f t="shared" ref="G28:G30" si="11">(C28*98%)</f>
        <v>1.251933493242996</v>
      </c>
      <c r="H28" s="108">
        <f t="shared" ref="H28:H30" si="12">(C28*80.1%+D28*0.7%+E28*1.8%)</f>
        <v>1.0262520499539887</v>
      </c>
      <c r="I28" s="481">
        <f>(C28*'Key Input'!$E$34+D28*'Key Input'!$E$35+E28*'Key Input'!$E$36)</f>
        <v>1.0262520499539889</v>
      </c>
    </row>
    <row r="29" spans="1:17">
      <c r="A29" s="93" t="str">
        <f>A12</f>
        <v>N2O</v>
      </c>
      <c r="B29" s="35"/>
      <c r="C29" s="481">
        <f>'fuel summary'!E235/$C$1/$C$2*10000</f>
        <v>3.8526622441360271E-4</v>
      </c>
      <c r="D29" s="481">
        <f>'fuel summary'!E17/$D$1/$D$2*10000/1000</f>
        <v>3.5710737929511858E-7</v>
      </c>
      <c r="E29" s="481">
        <f>'fuel summary'!E123/$E$1/$E$2*10000</f>
        <v>1.0443112730545781E-3</v>
      </c>
      <c r="F29" s="108">
        <f t="shared" si="10"/>
        <v>3.6215025094878654E-4</v>
      </c>
      <c r="G29" s="108">
        <f t="shared" si="11"/>
        <v>3.7756089992533064E-4</v>
      </c>
      <c r="H29" s="108">
        <f t="shared" si="12"/>
        <v>3.2739834842193324E-4</v>
      </c>
      <c r="I29" s="481">
        <f>(C29*'Key Input'!$E$34+D29*'Key Input'!$E$35+E29*'Key Input'!$E$36)</f>
        <v>3.2739834842193324E-4</v>
      </c>
    </row>
    <row r="30" spans="1:17">
      <c r="A30" s="101" t="str">
        <f>A9</f>
        <v>碳强度</v>
      </c>
      <c r="B30" s="102"/>
      <c r="C30" s="483">
        <f>'fuel summary'!E236/$C$1/$C$2*10000</f>
        <v>49.723315545881981</v>
      </c>
      <c r="D30" s="483">
        <f>'fuel summary'!E18/$D$1/$D$2*10000</f>
        <v>21.797223016522967</v>
      </c>
      <c r="E30" s="483">
        <f>'fuel summary'!E124/$E$1/$E$2*10000</f>
        <v>28.113408598194695</v>
      </c>
      <c r="F30" s="108">
        <f t="shared" si="10"/>
        <v>46.739916613129061</v>
      </c>
      <c r="G30" s="108">
        <f t="shared" si="11"/>
        <v>48.728849234964343</v>
      </c>
      <c r="H30" s="108">
        <f t="shared" si="12"/>
        <v>40.486997668134627</v>
      </c>
      <c r="I30" s="481">
        <f>(C30*'Key Input'!$E$34+D30*'Key Input'!$E$35+E30*'Key Input'!$E$36)</f>
        <v>40.486997668134634</v>
      </c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</row>
    <row r="32" spans="1:17">
      <c r="A32" s="533" t="s">
        <v>1054</v>
      </c>
      <c r="C32" t="str">
        <f>C21</f>
        <v>煤电</v>
      </c>
      <c r="D32" t="str">
        <f t="shared" ref="D32:I32" si="13">D21</f>
        <v>气电</v>
      </c>
      <c r="E32" t="str">
        <f t="shared" si="13"/>
        <v>油电</v>
      </c>
      <c r="F32" t="str">
        <f>F21</f>
        <v>东北电网</v>
      </c>
      <c r="G32" t="str">
        <f t="shared" si="13"/>
        <v>华北电网</v>
      </c>
      <c r="H32" t="str">
        <f t="shared" si="13"/>
        <v>南方电网</v>
      </c>
      <c r="I32" t="str">
        <f t="shared" si="13"/>
        <v>网电</v>
      </c>
    </row>
    <row r="33" spans="1:18">
      <c r="A33" s="107" t="str">
        <f>A22</f>
        <v>其中：煤炭</v>
      </c>
      <c r="B33" s="108"/>
      <c r="C33" s="696">
        <f>'fuel summary'!F228/$C$1/$C$2*10000</f>
        <v>6.9067809405863202E-3</v>
      </c>
      <c r="D33" s="696">
        <f>'fuel summary'!F10/$D$1/$D$2*10000/1000</f>
        <v>7.6770279132566902E-3</v>
      </c>
      <c r="E33" s="696">
        <f>'fuel summary'!F116/$E$1/$E$2*10000</f>
        <v>2.3173613739614476E-2</v>
      </c>
      <c r="F33" s="108">
        <f>(C33*94%)</f>
        <v>6.4923740841511405E-3</v>
      </c>
      <c r="G33" s="108">
        <f>(C33*98%)</f>
        <v>6.7686453217745933E-3</v>
      </c>
      <c r="H33" s="108">
        <f>(C33*80.1%+D33*0.7%+E33*1.8%)</f>
        <v>6.0031957761154994E-3</v>
      </c>
      <c r="I33" s="481">
        <f>(C33*'Key Input'!$E$34+D33*'Key Input'!$E$35+E33*'Key Input'!$E$36)</f>
        <v>6.0031957761155002E-3</v>
      </c>
    </row>
    <row r="34" spans="1:18">
      <c r="A34" s="93" t="str">
        <f>A23</f>
        <v xml:space="preserve">     天然气</v>
      </c>
      <c r="B34" s="35"/>
      <c r="C34" s="481">
        <f>'fuel summary'!F229/$C$1/$C$2*10000</f>
        <v>1.8787184883035741E-3</v>
      </c>
      <c r="D34" s="481">
        <f>'fuel summary'!F11/$D$1/$D$2*10000/1000</f>
        <v>2.6465730140953984E-2</v>
      </c>
      <c r="E34" s="481">
        <f>'fuel summary'!F117/$E$1/$E$2*10000</f>
        <v>2.8885533695288488E-3</v>
      </c>
      <c r="F34" s="108">
        <f t="shared" ref="F34:F36" si="14">(C34*94%)</f>
        <v>1.7659953790053597E-3</v>
      </c>
      <c r="G34" s="108">
        <f t="shared" ref="G34:G36" si="15">(C34*98%)</f>
        <v>1.8411441185375026E-3</v>
      </c>
      <c r="H34" s="108">
        <f t="shared" ref="H34:H36" si="16">(C34*80.1%+D34*0.7%+E34*1.8%)</f>
        <v>1.74210758076936E-3</v>
      </c>
      <c r="I34" s="481">
        <f>(C34*'Key Input'!$E$34+D34*'Key Input'!$E$35+E34*'Key Input'!$E$36)</f>
        <v>1.74210758076936E-3</v>
      </c>
    </row>
    <row r="35" spans="1:18">
      <c r="A35" s="93" t="str">
        <f>A24</f>
        <v xml:space="preserve">     石油</v>
      </c>
      <c r="B35" s="35"/>
      <c r="C35" s="481">
        <f>'fuel summary'!F230/$C$1/$C$2*10000</f>
        <v>3.5276708940900479E-2</v>
      </c>
      <c r="D35" s="481">
        <f>'fuel summary'!F12/$D$1/$D$2*10000/1000</f>
        <v>1.3781701173189787E-3</v>
      </c>
      <c r="E35" s="481">
        <f>'fuel summary'!F118/$E$1/$E$2*10000</f>
        <v>3.0369868088536194E-2</v>
      </c>
      <c r="F35" s="108">
        <f t="shared" si="14"/>
        <v>3.316010640444645E-2</v>
      </c>
      <c r="G35" s="108">
        <f t="shared" si="15"/>
        <v>3.457117476208247E-2</v>
      </c>
      <c r="H35" s="108">
        <f t="shared" si="16"/>
        <v>2.8812948678076166E-2</v>
      </c>
      <c r="I35" s="481">
        <f>(C35*'Key Input'!$E$34+D35*'Key Input'!$E$35+E35*'Key Input'!$E$36)</f>
        <v>2.881294867807617E-2</v>
      </c>
    </row>
    <row r="36" spans="1:18">
      <c r="A36" s="93" t="str">
        <f>A25</f>
        <v>能源强度</v>
      </c>
      <c r="B36" s="35"/>
      <c r="C36" s="481">
        <f>'fuel summary'!F231/$C$1/$C$2*10000</f>
        <v>4.406220836979037E-2</v>
      </c>
      <c r="D36" s="481">
        <f>'fuel summary'!F13/$D$1/$D$2*10000/1000</f>
        <v>3.5520928171529645E-2</v>
      </c>
      <c r="E36" s="481">
        <f>'fuel summary'!F119/$E$1/$E$2*10000</f>
        <v>5.6432035197679517E-2</v>
      </c>
      <c r="F36" s="108">
        <f t="shared" si="14"/>
        <v>4.1418475867602944E-2</v>
      </c>
      <c r="G36" s="108">
        <f t="shared" si="15"/>
        <v>4.3180964202394562E-2</v>
      </c>
      <c r="H36" s="108">
        <f t="shared" si="16"/>
        <v>3.655825203496102E-2</v>
      </c>
      <c r="I36" s="481">
        <f>(C36*'Key Input'!$E$34+D36*'Key Input'!$E$35+E36*'Key Input'!$E$36)</f>
        <v>3.6558252034961027E-2</v>
      </c>
      <c r="K36" s="33"/>
      <c r="L36" s="33" t="s">
        <v>617</v>
      </c>
      <c r="M36" s="33" t="s">
        <v>615</v>
      </c>
      <c r="N36" s="33" t="s">
        <v>616</v>
      </c>
      <c r="O36" s="33" t="s">
        <v>618</v>
      </c>
      <c r="P36" s="33" t="s">
        <v>619</v>
      </c>
      <c r="Q36" s="33" t="s">
        <v>620</v>
      </c>
      <c r="R36" s="33" t="s">
        <v>621</v>
      </c>
    </row>
    <row r="37" spans="1:18">
      <c r="A37" s="93"/>
      <c r="B37" s="35"/>
      <c r="C37" s="481"/>
      <c r="D37" s="481"/>
      <c r="E37" s="481"/>
      <c r="F37" s="35"/>
      <c r="G37" s="35"/>
      <c r="H37" s="35"/>
      <c r="I37" s="84"/>
      <c r="K37" s="33"/>
      <c r="L37" s="33"/>
      <c r="M37" s="33"/>
      <c r="N37" s="33"/>
      <c r="O37" s="33"/>
      <c r="P37" s="33"/>
      <c r="Q37" s="33"/>
      <c r="R37" s="33"/>
    </row>
    <row r="38" spans="1:18">
      <c r="A38" s="93" t="str">
        <f t="shared" ref="A38:A41" si="17">A27</f>
        <v>其中：CO2</v>
      </c>
      <c r="B38" s="35"/>
      <c r="C38" s="481">
        <f>'fuel summary'!F233/$C$1/$C$2*10000</f>
        <v>3.2248107633905629</v>
      </c>
      <c r="D38" s="481">
        <f>'fuel summary'!F15/$D$1/$D$2*10000/1000</f>
        <v>2.2328426738518337</v>
      </c>
      <c r="E38" s="481">
        <f>'fuel summary'!F121/$E$1/$E$2*10000</f>
        <v>4.3431752813248474</v>
      </c>
      <c r="F38" s="108">
        <f>(C38*94%)</f>
        <v>3.0313221175871288</v>
      </c>
      <c r="G38" s="108">
        <f>(C38*98%)</f>
        <v>3.1603145481227517</v>
      </c>
      <c r="H38" s="108">
        <f>(C38*80.1%+D38*0.7%+E38*1.8%)</f>
        <v>2.6768804752566506</v>
      </c>
      <c r="I38" s="481">
        <f>(C38*'Key Input'!$E$34+D38*'Key Input'!$E$35+E38*'Key Input'!$E$36)</f>
        <v>2.6768804752566511</v>
      </c>
      <c r="K38" s="433" t="s">
        <v>622</v>
      </c>
      <c r="L38" s="700">
        <f t="shared" ref="L38:N40" si="18">C16</f>
        <v>49.723315545881988</v>
      </c>
      <c r="M38" s="700">
        <f t="shared" si="18"/>
        <v>21.79722301652297</v>
      </c>
      <c r="N38" s="700">
        <f t="shared" si="18"/>
        <v>52.031931140025279</v>
      </c>
      <c r="O38" s="700">
        <f>6.056</f>
        <v>6.056</v>
      </c>
      <c r="P38" s="700">
        <f>G16</f>
        <v>0</v>
      </c>
      <c r="Q38" s="700">
        <f>H16</f>
        <v>0</v>
      </c>
      <c r="R38" s="700">
        <f>I16</f>
        <v>40.168851266382873</v>
      </c>
    </row>
    <row r="39" spans="1:18">
      <c r="A39" s="93" t="str">
        <f t="shared" si="17"/>
        <v>CH4</v>
      </c>
      <c r="B39" s="35"/>
      <c r="C39" s="481">
        <f>'fuel summary'!F234/$C$1/$C$2*10000</f>
        <v>3.5959047143003012E-3</v>
      </c>
      <c r="D39" s="481">
        <f>'fuel summary'!F16/$D$1/$D$2*10000/1000</f>
        <v>5.075243771983139E-3</v>
      </c>
      <c r="E39" s="481">
        <f>'fuel summary'!F122/$E$1/$E$2*10000</f>
        <v>9.9840146924947276E-3</v>
      </c>
      <c r="F39" s="108">
        <f t="shared" ref="F39:F41" si="19">(C39*94%)</f>
        <v>3.3801504314422831E-3</v>
      </c>
      <c r="G39" s="108">
        <f t="shared" ref="G39:G41" si="20">(C39*98%)</f>
        <v>3.5239866200142953E-3</v>
      </c>
      <c r="H39" s="108">
        <f t="shared" ref="H39:H41" si="21">(C39*80.1%+D39*0.7%+E39*1.8%)</f>
        <v>3.0955586470233281E-3</v>
      </c>
      <c r="I39" s="481">
        <f>(C39*'Key Input'!$E$34+D39*'Key Input'!$E$35+E39*'Key Input'!$E$36)</f>
        <v>3.0955586470233286E-3</v>
      </c>
      <c r="K39" s="433" t="s">
        <v>623</v>
      </c>
      <c r="L39" s="700">
        <f t="shared" si="18"/>
        <v>3.3149283743946807</v>
      </c>
      <c r="M39" s="700">
        <f t="shared" si="18"/>
        <v>2.3597237812242624</v>
      </c>
      <c r="N39" s="700">
        <f t="shared" si="18"/>
        <v>1.9494843605153587</v>
      </c>
      <c r="O39" s="700">
        <f>F17</f>
        <v>0</v>
      </c>
      <c r="P39" s="700">
        <f>5.846</f>
        <v>5.8460000000000001</v>
      </c>
      <c r="Q39" s="700">
        <f>H17</f>
        <v>0</v>
      </c>
      <c r="R39" s="700">
        <f>I17</f>
        <v>2.6641386985419016</v>
      </c>
    </row>
    <row r="40" spans="1:18">
      <c r="A40" s="93" t="str">
        <f>A29</f>
        <v>N2O</v>
      </c>
      <c r="B40" s="35"/>
      <c r="C40" s="481">
        <f>'fuel summary'!F235/$C$1/$C$2*10000</f>
        <v>7.3823203560509636E-4</v>
      </c>
      <c r="D40" s="481">
        <f>'fuel summary'!F17/$D$1/$D$2*10000/1000</f>
        <v>4.386862384018234E-8</v>
      </c>
      <c r="E40" s="481">
        <f>'fuel summary'!F123/$E$1/$E$2*10000</f>
        <v>7.0175320115387375E-5</v>
      </c>
      <c r="F40" s="108">
        <f t="shared" si="19"/>
        <v>6.9393811346879053E-4</v>
      </c>
      <c r="G40" s="108">
        <f t="shared" si="20"/>
        <v>7.2346739489299438E-4</v>
      </c>
      <c r="H40" s="108">
        <f t="shared" si="21"/>
        <v>5.9258732336212603E-4</v>
      </c>
      <c r="I40" s="481">
        <f>(C40*'Key Input'!$E$34+D40*'Key Input'!$E$35+E40*'Key Input'!$E$36)</f>
        <v>5.9258732336212613E-4</v>
      </c>
      <c r="K40" s="433" t="s">
        <v>624</v>
      </c>
      <c r="L40" s="700">
        <f t="shared" si="18"/>
        <v>239.95797731680085</v>
      </c>
      <c r="M40" s="700">
        <f t="shared" si="18"/>
        <v>131.46712802768164</v>
      </c>
      <c r="N40" s="700">
        <f t="shared" si="18"/>
        <v>253.5739750445633</v>
      </c>
      <c r="O40" s="700">
        <f>F18</f>
        <v>0</v>
      </c>
      <c r="P40" s="700">
        <f>G18</f>
        <v>0</v>
      </c>
      <c r="Q40" s="700">
        <f>5</f>
        <v>5</v>
      </c>
      <c r="R40" s="700">
        <f>I18</f>
        <v>194.23021577301535</v>
      </c>
    </row>
    <row r="41" spans="1:18">
      <c r="A41" s="101" t="str">
        <f t="shared" si="17"/>
        <v>碳强度</v>
      </c>
      <c r="B41" s="102"/>
      <c r="C41" s="483">
        <f>'fuel summary'!F236/$C$1/$C$2*10000</f>
        <v>3.3149283743946807</v>
      </c>
      <c r="D41" s="483">
        <f>'fuel summary'!F18/$D$1/$D$2*10000</f>
        <v>2.3597237812242624</v>
      </c>
      <c r="E41" s="483">
        <f>'fuel summary'!F124/$E$1/$E$2*10000</f>
        <v>4.5927965608826096</v>
      </c>
      <c r="F41" s="108">
        <f t="shared" si="19"/>
        <v>3.1160326719309999</v>
      </c>
      <c r="G41" s="108">
        <f t="shared" si="20"/>
        <v>3.2486298069067869</v>
      </c>
      <c r="H41" s="108">
        <f t="shared" si="21"/>
        <v>2.7544460324545961</v>
      </c>
      <c r="I41" s="481">
        <f>(C41*'Key Input'!$E$34+D41*'Key Input'!$E$35+E41*'Key Input'!$E$36)</f>
        <v>2.7544460324545961</v>
      </c>
    </row>
    <row r="43" spans="1:18">
      <c r="A43" s="533" t="s">
        <v>1055</v>
      </c>
      <c r="C43" t="str">
        <f>C32</f>
        <v>煤电</v>
      </c>
      <c r="D43" t="str">
        <f t="shared" ref="D43:I43" si="22">D32</f>
        <v>气电</v>
      </c>
      <c r="E43" t="str">
        <f t="shared" si="22"/>
        <v>油电</v>
      </c>
      <c r="F43" t="str">
        <f>F32</f>
        <v>东北电网</v>
      </c>
      <c r="G43" t="str">
        <f t="shared" ref="G43:H43" si="23">G32</f>
        <v>华北电网</v>
      </c>
      <c r="H43" t="str">
        <f t="shared" si="23"/>
        <v>南方电网</v>
      </c>
      <c r="I43" t="str">
        <f t="shared" si="22"/>
        <v>网电</v>
      </c>
    </row>
    <row r="44" spans="1:18">
      <c r="A44" s="107" t="str">
        <f>A33</f>
        <v>其中：煤炭</v>
      </c>
      <c r="B44" s="108"/>
      <c r="C44" s="481">
        <f>'fuel summary'!G228/$C$1/$C$2*10000</f>
        <v>2.9382382323558796</v>
      </c>
      <c r="D44" s="481">
        <f>'fuel summary'!G10/$D$1/$D$2*10000/1000</f>
        <v>0</v>
      </c>
      <c r="E44" s="481">
        <f>('fuel summary'!G116+'fuel summary'!H116+'fuel summary'!I116)/$E$1/$E$2*10000</f>
        <v>6.3730764525455785E-2</v>
      </c>
      <c r="F44" s="108">
        <f>(C44*94%)</f>
        <v>2.7619439384145266</v>
      </c>
      <c r="G44" s="108">
        <f>(C44*98%)</f>
        <v>2.8794734677087619</v>
      </c>
      <c r="H44" s="108">
        <f>(C44*80.1%+D44*0.7%+E44*1.8%)</f>
        <v>2.3546759778785176</v>
      </c>
      <c r="I44" s="481">
        <f>(C44*'Key Input'!$E$34+D44*'Key Input'!$E$35+E44*'Key Input'!$E$36)</f>
        <v>2.354675977878518</v>
      </c>
    </row>
    <row r="45" spans="1:18">
      <c r="A45" s="93" t="str">
        <f>A34</f>
        <v xml:space="preserve">     天然气</v>
      </c>
      <c r="B45" s="35"/>
      <c r="C45" s="481">
        <f>'fuel summary'!G229/$C$1/$C$2*10000</f>
        <v>0</v>
      </c>
      <c r="D45" s="481">
        <f>'fuel summary'!G11/$D$1/$D$2*10000/1000</f>
        <v>2.3301061363345097</v>
      </c>
      <c r="E45" s="481">
        <f>('fuel summary'!G117+'fuel summary'!H117+'fuel summary'!I117)/$E$1/$E$2*10000</f>
        <v>1.8133681068505662E-2</v>
      </c>
      <c r="F45" s="108">
        <f t="shared" ref="F45:F47" si="24">(C45*94%)</f>
        <v>0</v>
      </c>
      <c r="G45" s="108">
        <f t="shared" ref="G45:G47" si="25">(C45*98%)</f>
        <v>0</v>
      </c>
      <c r="H45" s="108">
        <f t="shared" ref="H45:H47" si="26">(C45*80.1%+D45*0.7%+E45*1.8%)</f>
        <v>1.6637149213574669E-2</v>
      </c>
      <c r="I45" s="481">
        <f>(C45*'Key Input'!$E$34+D45*'Key Input'!$E$35+E45*'Key Input'!$E$36)</f>
        <v>1.6637149213574669E-2</v>
      </c>
    </row>
    <row r="46" spans="1:18">
      <c r="A46" s="93" t="str">
        <f>A35</f>
        <v xml:space="preserve">     石油</v>
      </c>
      <c r="B46" s="35"/>
      <c r="C46" s="481">
        <f>'fuel summary'!G230/$C$1/$C$2*10000</f>
        <v>0</v>
      </c>
      <c r="D46" s="481">
        <f>'fuel summary'!G12/$D$1/$D$2*10000/1000</f>
        <v>0</v>
      </c>
      <c r="E46" s="481">
        <f>('fuel summary'!G118+'fuel summary'!H118+'fuel summary'!I118)/$E$1/$E$2*10000</f>
        <v>3.5404220638591553</v>
      </c>
      <c r="F46" s="108">
        <f t="shared" si="24"/>
        <v>0</v>
      </c>
      <c r="G46" s="108">
        <f t="shared" si="25"/>
        <v>0</v>
      </c>
      <c r="H46" s="108">
        <f t="shared" si="26"/>
        <v>6.3727597149464799E-2</v>
      </c>
      <c r="I46" s="481">
        <f>(C46*'Key Input'!$E$34+D46*'Key Input'!$E$35+E46*'Key Input'!$E$36)</f>
        <v>6.3727597149464785E-2</v>
      </c>
    </row>
    <row r="47" spans="1:18">
      <c r="A47" s="93" t="str">
        <f>A36</f>
        <v>能源强度</v>
      </c>
      <c r="B47" s="35"/>
      <c r="C47" s="481">
        <f>'fuel summary'!G231/$C$1/$C$2*10000</f>
        <v>2.9382382323558796</v>
      </c>
      <c r="D47" s="481">
        <f>'fuel summary'!G13/$D$1/$D$2*10000/1000</f>
        <v>2.3301061363345097</v>
      </c>
      <c r="E47" s="481">
        <f>('fuel summary'!G119+'fuel summary'!H119+'fuel summary'!I119)/$E$1/$E$2*10000</f>
        <v>3.6222865094531169</v>
      </c>
      <c r="F47" s="108">
        <f t="shared" si="24"/>
        <v>2.7619439384145266</v>
      </c>
      <c r="G47" s="108">
        <f t="shared" si="25"/>
        <v>2.8794734677087619</v>
      </c>
      <c r="H47" s="108">
        <f t="shared" si="26"/>
        <v>2.4350407242415568</v>
      </c>
      <c r="I47" s="481">
        <f>(C47*'Key Input'!$E$34+D47*'Key Input'!$E$35+E47*'Key Input'!$E$36)</f>
        <v>2.4350407242415573</v>
      </c>
    </row>
    <row r="48" spans="1:18">
      <c r="A48" s="93"/>
      <c r="B48" s="35"/>
      <c r="C48" s="481"/>
      <c r="D48" s="35"/>
      <c r="E48" s="35"/>
      <c r="F48" s="35"/>
      <c r="G48" s="35"/>
      <c r="H48" s="35"/>
      <c r="I48" s="84"/>
    </row>
    <row r="49" spans="1:9">
      <c r="A49" s="93" t="str">
        <f t="shared" ref="A49:A52" si="27">A38</f>
        <v>其中：CO2</v>
      </c>
      <c r="B49" s="35"/>
      <c r="C49" s="481">
        <f>'fuel summary'!G233/$C$1/$C$2*10000</f>
        <v>239.88364576599869</v>
      </c>
      <c r="D49" s="481">
        <f>'fuel summary'!G15/$D$1/$D$2*10000/1000</f>
        <v>131.46712802768164</v>
      </c>
      <c r="E49" s="481">
        <f>('fuel summary'!G121+'fuel summary'!H121+'fuel summary'!I121)/$E$1/$E$2*10000</f>
        <v>273.94341549804489</v>
      </c>
      <c r="F49" s="108">
        <f>(C49*94%)</f>
        <v>225.49062702003877</v>
      </c>
      <c r="G49" s="108">
        <f>(C49*98%)</f>
        <v>235.08597285067873</v>
      </c>
      <c r="H49" s="108">
        <f>(C49*80.1%+D49*0.7%+E49*1.8%)</f>
        <v>197.99805163372352</v>
      </c>
      <c r="I49" s="481">
        <f>(C49*'Key Input'!$E$34+D49*'Key Input'!$E$35+E49*'Key Input'!$E$36)</f>
        <v>197.99805163372352</v>
      </c>
    </row>
    <row r="50" spans="1:9">
      <c r="A50" s="93" t="str">
        <f t="shared" si="27"/>
        <v>CH4</v>
      </c>
      <c r="B50" s="35"/>
      <c r="C50" s="481">
        <f>'fuel summary'!G234/$C$1/$C$2*10000</f>
        <v>2.9382382323558795E-3</v>
      </c>
      <c r="D50" s="481">
        <f>'fuel summary'!G16/$D$1/$D$2*10000/1000</f>
        <v>0</v>
      </c>
      <c r="E50" s="481">
        <f>('fuel summary'!G122+'fuel summary'!H122+'fuel summary'!I122)/$E$1/$E$2*10000</f>
        <v>3.6228313401213366E-2</v>
      </c>
      <c r="F50" s="108">
        <f t="shared" ref="F50:F52" si="28">(C50*94%)</f>
        <v>2.7619439384145264E-3</v>
      </c>
      <c r="G50" s="108">
        <f t="shared" ref="G50:G52" si="29">(C50*98%)</f>
        <v>2.8794734677087619E-3</v>
      </c>
      <c r="H50" s="108">
        <f t="shared" ref="H50:H52" si="30">(C50*80.1%+D50*0.7%+E50*1.8%)</f>
        <v>3.0056384653388999E-3</v>
      </c>
      <c r="I50" s="481">
        <f>(C50*'Key Input'!$E$34+D50*'Key Input'!$E$35+E50*'Key Input'!$E$36)</f>
        <v>3.0056384653388999E-3</v>
      </c>
    </row>
    <row r="51" spans="1:9">
      <c r="A51" s="93" t="str">
        <f>A40</f>
        <v>N2O</v>
      </c>
      <c r="B51" s="35"/>
      <c r="C51" s="481">
        <f>'fuel summary'!G235/$C$1/$C$2*10000</f>
        <v>2.9382382323558795E-3</v>
      </c>
      <c r="D51" s="481">
        <f>'fuel summary'!G17/$D$1/$D$2*10000/1000</f>
        <v>0</v>
      </c>
      <c r="E51" s="481">
        <f>('fuel summary'!G123+'fuel summary'!H123+'fuel summary'!I123)/$E$1/$E$2*10000</f>
        <v>2.0823138069867473E-4</v>
      </c>
      <c r="F51" s="108">
        <f t="shared" si="28"/>
        <v>2.7619439384145264E-3</v>
      </c>
      <c r="G51" s="108">
        <f t="shared" si="29"/>
        <v>2.8794734677087619E-3</v>
      </c>
      <c r="H51" s="108">
        <f t="shared" si="30"/>
        <v>2.3572769889696355E-3</v>
      </c>
      <c r="I51" s="481">
        <f>(C51*'Key Input'!$E$34+D51*'Key Input'!$E$35+E51*'Key Input'!$E$36)</f>
        <v>2.3572769889696355E-3</v>
      </c>
    </row>
    <row r="52" spans="1:9">
      <c r="A52" s="101" t="str">
        <f t="shared" si="27"/>
        <v>碳强度</v>
      </c>
      <c r="B52" s="102"/>
      <c r="C52" s="481">
        <f>'fuel summary'!G236/$C$1/$C$2*10000</f>
        <v>239.95797731680088</v>
      </c>
      <c r="D52" s="481">
        <f>'fuel summary'!G18/$D$1/$D$2*10000</f>
        <v>131.46712802768164</v>
      </c>
      <c r="E52" s="481">
        <f>('fuel summary'!G124+'fuel summary'!H124+'fuel summary'!I124)/$E$1/$E$2*10000</f>
        <v>274.84918538602659</v>
      </c>
      <c r="F52" s="108">
        <f t="shared" si="28"/>
        <v>225.56049867779282</v>
      </c>
      <c r="G52" s="108">
        <f t="shared" si="29"/>
        <v>235.15881777046485</v>
      </c>
      <c r="H52" s="108">
        <f t="shared" si="30"/>
        <v>198.07389506389973</v>
      </c>
      <c r="I52" s="481">
        <f>(C52*'Key Input'!$E$34+D52*'Key Input'!$E$35+E52*'Key Input'!$E$36)</f>
        <v>198.07389506389976</v>
      </c>
    </row>
    <row r="54" spans="1:9">
      <c r="A54" s="533" t="s">
        <v>1060</v>
      </c>
      <c r="C54" t="str">
        <f>C43</f>
        <v>煤电</v>
      </c>
      <c r="D54" t="str">
        <f t="shared" ref="D54:I54" si="31">D43</f>
        <v>气电</v>
      </c>
      <c r="E54" t="str">
        <f t="shared" si="31"/>
        <v>油电</v>
      </c>
      <c r="F54" t="str">
        <f>F43</f>
        <v>东北电网</v>
      </c>
      <c r="G54" t="str">
        <f t="shared" ref="G54:H54" si="32">G43</f>
        <v>华北电网</v>
      </c>
      <c r="H54" t="str">
        <f t="shared" si="32"/>
        <v>南方电网</v>
      </c>
      <c r="I54" t="str">
        <f t="shared" si="31"/>
        <v>网电</v>
      </c>
    </row>
    <row r="55" spans="1:9">
      <c r="A55" t="str">
        <f>A44</f>
        <v>其中：煤炭</v>
      </c>
      <c r="C55" s="481">
        <f>C22+C33+C44</f>
        <v>3.1515402370254115</v>
      </c>
      <c r="D55" s="481">
        <f t="shared" ref="D55:E55" si="33">D22+D33+D44</f>
        <v>1.9133186080058286E-2</v>
      </c>
      <c r="E55" s="481">
        <f t="shared" si="33"/>
        <v>0.20163740767708865</v>
      </c>
      <c r="F55" s="108">
        <f>(C55*94%)</f>
        <v>2.9624478228038869</v>
      </c>
      <c r="G55" s="108">
        <f>(C55*98%)</f>
        <v>3.0885094322849032</v>
      </c>
      <c r="H55" s="108">
        <f>(C55*80.1%+D55*0.7%+E55*1.8%)</f>
        <v>2.5281471354981022</v>
      </c>
      <c r="I55" s="481">
        <f>(C55*'Key Input'!$E$34+D55*'Key Input'!$E$35+E55*'Key Input'!$E$36)</f>
        <v>2.5281471354981027</v>
      </c>
    </row>
    <row r="56" spans="1:9">
      <c r="A56" t="str">
        <f t="shared" ref="A56:A63" si="34">A45</f>
        <v xml:space="preserve">     天然气</v>
      </c>
      <c r="C56" s="481">
        <f t="shared" ref="C56:E56" si="35">C23+C34+C45</f>
        <v>8.0169281873447278E-3</v>
      </c>
      <c r="D56" s="481">
        <f t="shared" si="35"/>
        <v>2.6232099456986795</v>
      </c>
      <c r="E56" s="481">
        <f t="shared" si="35"/>
        <v>0.15766941811353694</v>
      </c>
      <c r="F56" s="108">
        <f t="shared" ref="F56:F58" si="36">(C56*94%)</f>
        <v>7.5359124961040438E-3</v>
      </c>
      <c r="G56" s="108">
        <f t="shared" ref="G56:G58" si="37">(C56*98%)</f>
        <v>7.8565896235978337E-3</v>
      </c>
      <c r="H56" s="108">
        <f t="shared" ref="H56:H58" si="38">(C56*80.1%+D56*0.7%+E56*1.8%)</f>
        <v>2.7622078623997549E-2</v>
      </c>
      <c r="I56" s="481">
        <f>(C56*'Key Input'!$E$34+D56*'Key Input'!$E$35+E56*'Key Input'!$E$36)</f>
        <v>2.7622078623997549E-2</v>
      </c>
    </row>
    <row r="57" spans="1:9">
      <c r="A57" t="str">
        <f t="shared" si="34"/>
        <v xml:space="preserve">     石油</v>
      </c>
      <c r="C57" s="481">
        <f t="shared" ref="C57:E58" si="39">C24+C35+C46</f>
        <v>4.3335789345252521E-2</v>
      </c>
      <c r="D57" s="481">
        <f t="shared" si="39"/>
        <v>1.3630316611935322E-2</v>
      </c>
      <c r="E57" s="481">
        <f t="shared" si="39"/>
        <v>3.6937523850068996</v>
      </c>
      <c r="F57" s="108">
        <f t="shared" si="36"/>
        <v>4.0735641984537364E-2</v>
      </c>
      <c r="G57" s="108">
        <f t="shared" si="37"/>
        <v>4.2469073558347468E-2</v>
      </c>
      <c r="H57" s="108">
        <f t="shared" si="38"/>
        <v>0.10129492241195501</v>
      </c>
      <c r="I57" s="481">
        <f>(C57*'Key Input'!$E$34+D57*'Key Input'!$E$35+E57*'Key Input'!$E$36)</f>
        <v>0.10129492241195501</v>
      </c>
    </row>
    <row r="58" spans="1:9">
      <c r="A58" t="str">
        <f t="shared" si="34"/>
        <v>能源强度</v>
      </c>
      <c r="C58" s="481">
        <f t="shared" si="39"/>
        <v>3.2028929545580089</v>
      </c>
      <c r="D58" s="481">
        <f t="shared" si="39"/>
        <v>2.655973448390673</v>
      </c>
      <c r="E58" s="481">
        <f t="shared" si="39"/>
        <v>4.0530592107975254</v>
      </c>
      <c r="F58" s="108">
        <f t="shared" si="36"/>
        <v>3.0107193772845284</v>
      </c>
      <c r="G58" s="108">
        <f t="shared" si="37"/>
        <v>3.1388350954668489</v>
      </c>
      <c r="H58" s="108">
        <f t="shared" si="38"/>
        <v>2.6570641365340553</v>
      </c>
      <c r="I58" s="481">
        <f>(C58*'Key Input'!$E$34+D58*'Key Input'!$E$35+E58*'Key Input'!$E$36)</f>
        <v>2.6570641365340557</v>
      </c>
    </row>
    <row r="59" spans="1:9">
      <c r="I59" s="84"/>
    </row>
    <row r="60" spans="1:9">
      <c r="A60" t="str">
        <f t="shared" si="34"/>
        <v>其中：CO2</v>
      </c>
      <c r="C60" s="481">
        <f>C27+C38+C49</f>
        <v>260.89457835667628</v>
      </c>
      <c r="D60" s="481">
        <f t="shared" ref="D60:E60" si="40">D27+D38+D49</f>
        <v>150.69570878077997</v>
      </c>
      <c r="E60" s="481">
        <f t="shared" si="40"/>
        <v>304.11687435522907</v>
      </c>
      <c r="F60" s="108">
        <f>(C60*94%)</f>
        <v>245.24090365527567</v>
      </c>
      <c r="G60" s="108">
        <f>(C60*98%)</f>
        <v>255.67668678954274</v>
      </c>
      <c r="H60" s="108">
        <f>(C60*80.1%+D60*0.7%+E60*1.8%)</f>
        <v>215.50553096355728</v>
      </c>
      <c r="I60" s="481">
        <f>(C60*'Key Input'!$E$34+D60*'Key Input'!$E$35+E60*'Key Input'!$E$36)</f>
        <v>215.50553096355731</v>
      </c>
    </row>
    <row r="61" spans="1:9">
      <c r="A61" t="str">
        <f t="shared" si="34"/>
        <v>CH4</v>
      </c>
      <c r="C61" s="481">
        <f t="shared" ref="C61:E61" si="41">C28+C39+C50</f>
        <v>1.2840172993170604</v>
      </c>
      <c r="D61" s="481">
        <f t="shared" si="41"/>
        <v>0.19713463700632164</v>
      </c>
      <c r="E61" s="481">
        <f t="shared" si="41"/>
        <v>0.13752488079674841</v>
      </c>
      <c r="F61" s="108">
        <f t="shared" ref="F61:F63" si="42">(C61*94%)</f>
        <v>1.2069762613580368</v>
      </c>
      <c r="G61" s="108">
        <f t="shared" ref="G61:G63" si="43">(C61*98%)</f>
        <v>1.2583369533307192</v>
      </c>
      <c r="H61" s="108">
        <f t="shared" ref="H61:H63" si="44">(C61*80.1%+D61*0.7%+E61*1.8%)</f>
        <v>1.0323532470663508</v>
      </c>
      <c r="I61" s="481">
        <f>(C61*'Key Input'!$E$34+D61*'Key Input'!$E$35+E61*'Key Input'!$E$36)</f>
        <v>1.032353247066351</v>
      </c>
    </row>
    <row r="62" spans="1:9">
      <c r="A62" t="str">
        <f>A51</f>
        <v>N2O</v>
      </c>
      <c r="C62" s="481">
        <f t="shared" ref="C62:E63" si="45">C29+C40+C51</f>
        <v>4.0617364923745784E-3</v>
      </c>
      <c r="D62" s="481">
        <f t="shared" si="45"/>
        <v>4.009760031353009E-7</v>
      </c>
      <c r="E62" s="481">
        <f t="shared" si="45"/>
        <v>1.3227179738686402E-3</v>
      </c>
      <c r="F62" s="108">
        <f t="shared" si="42"/>
        <v>3.8180323028321034E-3</v>
      </c>
      <c r="G62" s="108">
        <f t="shared" si="43"/>
        <v>3.9805017625270866E-3</v>
      </c>
      <c r="H62" s="108">
        <f t="shared" si="44"/>
        <v>3.2772626607536948E-3</v>
      </c>
      <c r="I62" s="481">
        <f>(C62*'Key Input'!$E$34+D62*'Key Input'!$E$35+E62*'Key Input'!$E$36)</f>
        <v>3.2772626607536948E-3</v>
      </c>
    </row>
    <row r="63" spans="1:9">
      <c r="A63" t="str">
        <f t="shared" si="34"/>
        <v>碳强度</v>
      </c>
      <c r="C63" s="481">
        <f>C30+C41+C52</f>
        <v>292.99622123707752</v>
      </c>
      <c r="D63" s="481">
        <f t="shared" si="45"/>
        <v>155.62407482542886</v>
      </c>
      <c r="E63" s="481">
        <f t="shared" si="45"/>
        <v>307.55539054510388</v>
      </c>
      <c r="F63" s="108">
        <f t="shared" si="42"/>
        <v>275.41644796285283</v>
      </c>
      <c r="G63" s="108">
        <f t="shared" si="43"/>
        <v>287.13629681233596</v>
      </c>
      <c r="H63" s="108">
        <f t="shared" si="44"/>
        <v>241.31533876448896</v>
      </c>
      <c r="I63" s="481">
        <f>(C63*'Key Input'!$E$34+D63*'Key Input'!$E$35+E63*'Key Input'!$E$36)</f>
        <v>241.31533876448898</v>
      </c>
    </row>
  </sheetData>
  <mergeCells count="2">
    <mergeCell ref="B3:B4"/>
    <mergeCell ref="C3:I3"/>
  </mergeCells>
  <phoneticPr fontId="2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3"/>
  <sheetViews>
    <sheetView workbookViewId="0">
      <selection activeCell="S9" sqref="S9"/>
    </sheetView>
  </sheetViews>
  <sheetFormatPr defaultColWidth="8.88671875" defaultRowHeight="14.4" outlineLevelRow="1"/>
  <cols>
    <col min="1" max="1" width="8.88671875" style="257"/>
    <col min="2" max="4" width="6.109375" style="257" bestFit="1" customWidth="1"/>
    <col min="5" max="5" width="9.21875" style="257" bestFit="1" customWidth="1"/>
    <col min="6" max="7" width="6.109375" style="257" bestFit="1" customWidth="1"/>
    <col min="8" max="8" width="9.21875" style="257" bestFit="1" customWidth="1"/>
    <col min="9" max="10" width="6.109375" style="257" bestFit="1" customWidth="1"/>
    <col min="11" max="13" width="9.21875" style="257" bestFit="1" customWidth="1"/>
    <col min="14" max="14" width="13.21875" style="257" customWidth="1"/>
    <col min="15" max="15" width="14.21875" style="257" customWidth="1"/>
    <col min="16" max="16" width="10.6640625" style="257" bestFit="1" customWidth="1"/>
    <col min="17" max="17" width="9.109375" style="257" bestFit="1" customWidth="1"/>
    <col min="18" max="18" width="10.109375" style="257" bestFit="1" customWidth="1"/>
    <col min="19" max="19" width="13.6640625" style="257" bestFit="1" customWidth="1"/>
    <col min="20" max="20" width="8.88671875" style="257"/>
    <col min="21" max="21" width="9.88671875" style="257" customWidth="1"/>
    <col min="22" max="22" width="12" style="257" customWidth="1"/>
    <col min="23" max="23" width="19.33203125" style="257" bestFit="1" customWidth="1"/>
    <col min="24" max="25" width="8.88671875" style="257"/>
    <col min="26" max="26" width="13.6640625" style="257" bestFit="1" customWidth="1"/>
    <col min="27" max="28" width="8.88671875" style="257"/>
    <col min="29" max="29" width="13.6640625" style="257" bestFit="1" customWidth="1"/>
    <col min="30" max="30" width="20.44140625" style="257" bestFit="1" customWidth="1"/>
    <col min="31" max="31" width="8.88671875" style="257"/>
    <col min="32" max="32" width="13.6640625" style="257" bestFit="1" customWidth="1"/>
    <col min="33" max="33" width="9.109375" style="257" bestFit="1" customWidth="1"/>
    <col min="34" max="35" width="8.88671875" style="257"/>
    <col min="36" max="36" width="8.88671875" style="422"/>
    <col min="37" max="16384" width="8.88671875" style="257"/>
  </cols>
  <sheetData>
    <row r="1" spans="1:36" ht="30" thickTop="1" thickBot="1">
      <c r="A1" s="669" t="s">
        <v>929</v>
      </c>
      <c r="B1" s="514"/>
      <c r="N1" s="258" t="s">
        <v>367</v>
      </c>
      <c r="O1" s="259">
        <v>1</v>
      </c>
      <c r="P1" s="259">
        <v>2</v>
      </c>
      <c r="Q1" s="259">
        <v>3</v>
      </c>
      <c r="R1" s="259"/>
      <c r="S1" s="259">
        <v>4</v>
      </c>
      <c r="T1" s="260" t="s">
        <v>11</v>
      </c>
      <c r="U1" s="259">
        <v>1</v>
      </c>
      <c r="V1" s="259">
        <v>2</v>
      </c>
      <c r="W1" s="259">
        <v>3</v>
      </c>
      <c r="X1" s="259">
        <v>4</v>
      </c>
      <c r="Y1" s="261" t="s">
        <v>368</v>
      </c>
      <c r="Z1" s="515" t="s">
        <v>549</v>
      </c>
      <c r="AA1" s="515" t="s">
        <v>550</v>
      </c>
      <c r="AB1" s="515" t="s">
        <v>551</v>
      </c>
      <c r="AC1" s="516" t="s">
        <v>552</v>
      </c>
      <c r="AD1" s="515" t="s">
        <v>553</v>
      </c>
      <c r="AE1" s="257" t="s">
        <v>369</v>
      </c>
      <c r="AF1" s="393" t="s">
        <v>368</v>
      </c>
      <c r="AG1" s="394"/>
      <c r="AH1" s="394"/>
      <c r="AI1" s="394"/>
      <c r="AJ1" s="419"/>
    </row>
    <row r="2" spans="1:36" ht="31.2" thickTop="1" thickBot="1">
      <c r="A2" s="262" t="s">
        <v>370</v>
      </c>
      <c r="B2" s="733" t="s">
        <v>371</v>
      </c>
      <c r="C2" s="733"/>
      <c r="D2" s="733"/>
      <c r="E2" s="733"/>
      <c r="F2" s="733" t="s">
        <v>372</v>
      </c>
      <c r="G2" s="733"/>
      <c r="H2" s="733"/>
      <c r="I2" s="733"/>
      <c r="J2" s="732" t="s">
        <v>373</v>
      </c>
      <c r="K2" s="732"/>
      <c r="L2" s="732"/>
      <c r="M2" s="732"/>
      <c r="N2" s="263" t="s">
        <v>368</v>
      </c>
      <c r="O2" s="423" t="s">
        <v>555</v>
      </c>
      <c r="P2" s="423" t="s">
        <v>556</v>
      </c>
      <c r="Q2" s="423" t="s">
        <v>556</v>
      </c>
      <c r="R2" s="264" t="s">
        <v>558</v>
      </c>
      <c r="S2" s="423" t="s">
        <v>556</v>
      </c>
      <c r="T2" s="424" t="s">
        <v>557</v>
      </c>
      <c r="U2" s="499" t="s">
        <v>374</v>
      </c>
      <c r="V2" s="265"/>
      <c r="W2" s="265"/>
      <c r="X2" s="265"/>
      <c r="Y2" s="266" t="s">
        <v>375</v>
      </c>
      <c r="Z2" s="517" t="s">
        <v>9</v>
      </c>
      <c r="AA2" s="517" t="s">
        <v>11</v>
      </c>
      <c r="AB2" s="517" t="s">
        <v>9</v>
      </c>
      <c r="AC2" s="517" t="s">
        <v>554</v>
      </c>
      <c r="AD2" s="517" t="s">
        <v>9</v>
      </c>
      <c r="AE2" s="267" t="s">
        <v>9</v>
      </c>
      <c r="AF2" s="395" t="s">
        <v>375</v>
      </c>
      <c r="AG2" s="396" t="s">
        <v>376</v>
      </c>
      <c r="AH2" s="397" t="s">
        <v>9</v>
      </c>
      <c r="AI2" s="397" t="s">
        <v>9</v>
      </c>
      <c r="AJ2" s="420" t="s">
        <v>10</v>
      </c>
    </row>
    <row r="3" spans="1:36" ht="15" thickBot="1">
      <c r="A3" s="268" t="s">
        <v>367</v>
      </c>
      <c r="B3" s="269">
        <v>1</v>
      </c>
      <c r="C3" s="269">
        <v>2</v>
      </c>
      <c r="D3" s="269">
        <v>3</v>
      </c>
      <c r="E3" s="269">
        <v>4</v>
      </c>
      <c r="F3" s="269">
        <v>1</v>
      </c>
      <c r="G3" s="269">
        <v>2</v>
      </c>
      <c r="H3" s="269">
        <v>3</v>
      </c>
      <c r="I3" s="269">
        <v>4</v>
      </c>
      <c r="J3" s="267">
        <v>1</v>
      </c>
      <c r="K3" s="267">
        <v>2</v>
      </c>
      <c r="L3" s="267">
        <v>3</v>
      </c>
      <c r="M3" s="267">
        <v>4</v>
      </c>
      <c r="N3" s="270" t="s">
        <v>371</v>
      </c>
      <c r="O3" s="526">
        <v>94.6</v>
      </c>
      <c r="P3" s="271">
        <v>100</v>
      </c>
      <c r="Q3" s="271">
        <v>100</v>
      </c>
      <c r="R3" s="272">
        <v>100</v>
      </c>
      <c r="S3" s="271">
        <v>100</v>
      </c>
      <c r="T3" s="273" t="s">
        <v>11</v>
      </c>
      <c r="U3" s="274">
        <f>100/O3-1</f>
        <v>5.7082452431289621E-2</v>
      </c>
      <c r="V3" s="274">
        <f>100/P3-1</f>
        <v>0</v>
      </c>
      <c r="W3" s="498">
        <f>100/Q3-1</f>
        <v>0</v>
      </c>
      <c r="X3" s="274">
        <f t="shared" ref="X3:X10" si="0">100/S3-1</f>
        <v>0</v>
      </c>
      <c r="Y3" s="275" t="s">
        <v>371</v>
      </c>
      <c r="Z3" s="518">
        <f>Z6</f>
        <v>24.74</v>
      </c>
      <c r="AA3" s="518">
        <v>0.9</v>
      </c>
      <c r="AB3" s="518">
        <v>1E-3</v>
      </c>
      <c r="AC3" s="518">
        <v>1E-3</v>
      </c>
      <c r="AD3" s="518">
        <v>0.40600000000000003</v>
      </c>
      <c r="AE3" s="315">
        <f>44/12*Z3*AA3</f>
        <v>81.641999999999996</v>
      </c>
      <c r="AF3" s="497" t="s">
        <v>690</v>
      </c>
      <c r="AG3" s="399">
        <v>100.5</v>
      </c>
      <c r="AH3" s="400">
        <v>4.26</v>
      </c>
      <c r="AI3" s="400">
        <v>0.42</v>
      </c>
      <c r="AJ3" s="421">
        <v>0.06</v>
      </c>
    </row>
    <row r="4" spans="1:36" ht="28.8">
      <c r="A4" s="276" t="s">
        <v>371</v>
      </c>
      <c r="B4" s="277">
        <v>0.73</v>
      </c>
      <c r="C4" s="278">
        <v>0</v>
      </c>
      <c r="D4" s="278">
        <v>0</v>
      </c>
      <c r="E4" s="278">
        <v>0</v>
      </c>
      <c r="F4" s="278">
        <v>0.04</v>
      </c>
      <c r="G4" s="278">
        <v>0</v>
      </c>
      <c r="H4" s="278">
        <v>0</v>
      </c>
      <c r="I4" s="278">
        <v>0</v>
      </c>
      <c r="J4" s="278">
        <v>0.04</v>
      </c>
      <c r="K4" s="279">
        <v>0</v>
      </c>
      <c r="L4" s="279">
        <v>0</v>
      </c>
      <c r="M4" s="279">
        <v>0</v>
      </c>
      <c r="N4" s="270" t="s">
        <v>372</v>
      </c>
      <c r="O4" s="271">
        <v>90.2</v>
      </c>
      <c r="P4" s="271">
        <v>100</v>
      </c>
      <c r="Q4" s="271">
        <v>100</v>
      </c>
      <c r="R4" s="272">
        <v>100</v>
      </c>
      <c r="S4" s="271">
        <v>100</v>
      </c>
      <c r="T4" s="273" t="s">
        <v>11</v>
      </c>
      <c r="U4" s="274">
        <f t="shared" ref="U4:W7" si="1">100/O4-1</f>
        <v>0.10864745011086474</v>
      </c>
      <c r="V4" s="274">
        <f t="shared" si="1"/>
        <v>0</v>
      </c>
      <c r="W4" s="498">
        <f t="shared" si="1"/>
        <v>0</v>
      </c>
      <c r="X4" s="274">
        <f t="shared" si="0"/>
        <v>0</v>
      </c>
      <c r="Y4" s="275" t="s">
        <v>372</v>
      </c>
      <c r="Z4" s="518">
        <v>15.3</v>
      </c>
      <c r="AA4" s="518">
        <v>0.99</v>
      </c>
      <c r="AB4" s="518">
        <v>1E-3</v>
      </c>
      <c r="AC4" s="518">
        <v>1E-3</v>
      </c>
      <c r="AD4" s="518">
        <v>7.1999999999999995E-2</v>
      </c>
      <c r="AE4" s="315">
        <f>44/12*Z4*AA4</f>
        <v>55.539000000000001</v>
      </c>
      <c r="AF4" s="398" t="s">
        <v>372</v>
      </c>
      <c r="AG4" s="399">
        <v>68.59</v>
      </c>
      <c r="AH4" s="400">
        <v>11.91</v>
      </c>
      <c r="AI4" s="400">
        <v>7.0000000000000007E-2</v>
      </c>
      <c r="AJ4" s="421">
        <v>0.15</v>
      </c>
    </row>
    <row r="5" spans="1:36">
      <c r="A5" s="276" t="s">
        <v>372</v>
      </c>
      <c r="B5" s="277">
        <v>0</v>
      </c>
      <c r="C5" s="278">
        <v>0</v>
      </c>
      <c r="D5" s="278">
        <v>0</v>
      </c>
      <c r="E5" s="278">
        <v>0</v>
      </c>
      <c r="F5" s="278">
        <v>0.43</v>
      </c>
      <c r="G5" s="278">
        <v>0</v>
      </c>
      <c r="H5" s="278">
        <v>0</v>
      </c>
      <c r="I5" s="278">
        <v>0</v>
      </c>
      <c r="J5" s="278">
        <v>0.43</v>
      </c>
      <c r="K5" s="279">
        <v>0</v>
      </c>
      <c r="L5" s="279">
        <v>0</v>
      </c>
      <c r="M5" s="279">
        <v>0</v>
      </c>
      <c r="N5" s="270" t="s">
        <v>373</v>
      </c>
      <c r="O5" s="524">
        <v>93</v>
      </c>
      <c r="P5" s="271">
        <v>100</v>
      </c>
      <c r="Q5" s="271">
        <v>100</v>
      </c>
      <c r="R5" s="272">
        <v>100</v>
      </c>
      <c r="S5" s="271">
        <v>100</v>
      </c>
      <c r="T5" s="273" t="s">
        <v>11</v>
      </c>
      <c r="U5" s="274">
        <f t="shared" si="1"/>
        <v>7.5268817204301008E-2</v>
      </c>
      <c r="V5" s="274">
        <f t="shared" si="1"/>
        <v>0</v>
      </c>
      <c r="W5" s="498">
        <f>100/Q5-1</f>
        <v>0</v>
      </c>
      <c r="X5" s="274">
        <f t="shared" si="0"/>
        <v>0</v>
      </c>
      <c r="Y5" s="275" t="s">
        <v>373</v>
      </c>
      <c r="Z5" s="518">
        <v>20</v>
      </c>
      <c r="AA5" s="518">
        <v>0.98</v>
      </c>
      <c r="AB5" s="518">
        <v>2E-3</v>
      </c>
      <c r="AC5" s="518">
        <v>0</v>
      </c>
      <c r="AD5" s="518">
        <v>8.9999999999999993E-3</v>
      </c>
      <c r="AE5" s="315">
        <f t="shared" ref="AE5:AE10" si="2">44/12*Z5*AA5</f>
        <v>71.86666666666666</v>
      </c>
      <c r="AF5" s="398" t="s">
        <v>373</v>
      </c>
      <c r="AG5" s="399">
        <v>89.19</v>
      </c>
      <c r="AH5" s="400">
        <v>16</v>
      </c>
      <c r="AI5" s="400">
        <v>0.05</v>
      </c>
      <c r="AJ5" s="421">
        <v>0.15</v>
      </c>
    </row>
    <row r="6" spans="1:36">
      <c r="A6" s="276" t="s">
        <v>373</v>
      </c>
      <c r="B6" s="277">
        <v>0</v>
      </c>
      <c r="C6" s="278">
        <v>0</v>
      </c>
      <c r="D6" s="278">
        <v>0</v>
      </c>
      <c r="E6" s="278">
        <v>0</v>
      </c>
      <c r="F6" s="278">
        <v>0.28000000000000003</v>
      </c>
      <c r="G6" s="278">
        <v>0</v>
      </c>
      <c r="H6" s="278">
        <v>0</v>
      </c>
      <c r="I6" s="278">
        <v>0</v>
      </c>
      <c r="J6" s="278">
        <v>0.28000000000000003</v>
      </c>
      <c r="K6" s="279">
        <v>0</v>
      </c>
      <c r="L6" s="279">
        <v>0</v>
      </c>
      <c r="M6" s="279">
        <v>0</v>
      </c>
      <c r="N6" s="270" t="s">
        <v>377</v>
      </c>
      <c r="O6" s="526">
        <v>94.6</v>
      </c>
      <c r="P6" s="271">
        <v>98.9</v>
      </c>
      <c r="Q6" s="271">
        <v>100</v>
      </c>
      <c r="R6" s="272">
        <v>100</v>
      </c>
      <c r="S6" s="271">
        <v>100</v>
      </c>
      <c r="T6" s="273" t="s">
        <v>11</v>
      </c>
      <c r="U6" s="274">
        <f t="shared" si="1"/>
        <v>5.7082452431289621E-2</v>
      </c>
      <c r="V6" s="274">
        <f t="shared" si="1"/>
        <v>1.1122345803842304E-2</v>
      </c>
      <c r="W6" s="498">
        <f t="shared" si="1"/>
        <v>0</v>
      </c>
      <c r="X6" s="274">
        <f t="shared" si="0"/>
        <v>0</v>
      </c>
      <c r="Y6" s="275" t="s">
        <v>377</v>
      </c>
      <c r="Z6" s="518">
        <v>24.74</v>
      </c>
      <c r="AA6" s="518">
        <v>0.9</v>
      </c>
      <c r="AB6" s="518">
        <v>1E-3</v>
      </c>
      <c r="AC6" s="518">
        <v>1E-3</v>
      </c>
      <c r="AD6" s="518">
        <v>0.40600000000000003</v>
      </c>
      <c r="AE6" s="315">
        <f t="shared" si="2"/>
        <v>81.641999999999996</v>
      </c>
      <c r="AF6" s="398" t="s">
        <v>377</v>
      </c>
      <c r="AG6" s="399">
        <v>104.5</v>
      </c>
      <c r="AH6" s="400">
        <v>5.73</v>
      </c>
      <c r="AI6" s="400">
        <v>0.43</v>
      </c>
      <c r="AJ6" s="421">
        <v>0.15</v>
      </c>
    </row>
    <row r="7" spans="1:36" ht="28.8">
      <c r="A7" s="276" t="s">
        <v>377</v>
      </c>
      <c r="B7" s="277">
        <v>0.08</v>
      </c>
      <c r="C7" s="278">
        <v>0</v>
      </c>
      <c r="D7" s="278">
        <v>0</v>
      </c>
      <c r="E7" s="278">
        <v>0</v>
      </c>
      <c r="F7" s="278">
        <v>0</v>
      </c>
      <c r="G7" s="278">
        <v>0</v>
      </c>
      <c r="H7" s="278">
        <v>0</v>
      </c>
      <c r="I7" s="278">
        <v>0</v>
      </c>
      <c r="J7" s="278">
        <v>0</v>
      </c>
      <c r="K7" s="279">
        <v>0</v>
      </c>
      <c r="L7" s="279">
        <v>0</v>
      </c>
      <c r="M7" s="279">
        <v>0</v>
      </c>
      <c r="N7" s="270" t="s">
        <v>378</v>
      </c>
      <c r="O7" s="271">
        <v>90.2</v>
      </c>
      <c r="P7" s="271">
        <v>99.6</v>
      </c>
      <c r="Q7" s="271">
        <v>100</v>
      </c>
      <c r="R7" s="272">
        <v>100</v>
      </c>
      <c r="S7" s="271">
        <v>100</v>
      </c>
      <c r="T7" s="273" t="s">
        <v>11</v>
      </c>
      <c r="U7" s="274">
        <f t="shared" si="1"/>
        <v>0.10864745011086474</v>
      </c>
      <c r="V7" s="274">
        <f>100/P7-1</f>
        <v>4.0160642570281624E-3</v>
      </c>
      <c r="W7" s="498">
        <f t="shared" si="1"/>
        <v>0</v>
      </c>
      <c r="X7" s="274">
        <f>100/S7-1</f>
        <v>0</v>
      </c>
      <c r="Y7" s="275" t="s">
        <v>378</v>
      </c>
      <c r="Z7" s="519">
        <v>15.7</v>
      </c>
      <c r="AA7" s="518">
        <v>0.99</v>
      </c>
      <c r="AB7" s="518">
        <v>1E-3</v>
      </c>
      <c r="AC7" s="518">
        <v>1E-3</v>
      </c>
      <c r="AD7" s="518">
        <v>7.1999999999999995E-2</v>
      </c>
      <c r="AE7" s="315">
        <f>44/12*Z7*AA7</f>
        <v>56.990999999999993</v>
      </c>
      <c r="AF7" s="398" t="s">
        <v>378</v>
      </c>
      <c r="AG7" s="399">
        <v>72.73</v>
      </c>
      <c r="AH7" s="400">
        <v>13.54</v>
      </c>
      <c r="AI7" s="400">
        <v>0.11</v>
      </c>
      <c r="AJ7" s="421">
        <v>0.15</v>
      </c>
    </row>
    <row r="8" spans="1:36">
      <c r="A8" s="276" t="s">
        <v>378</v>
      </c>
      <c r="B8" s="277">
        <v>5.0000000000000001E-3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78">
        <v>0</v>
      </c>
      <c r="J8" s="278">
        <v>0</v>
      </c>
      <c r="K8" s="279">
        <v>0</v>
      </c>
      <c r="L8" s="279">
        <v>0</v>
      </c>
      <c r="M8" s="279">
        <v>0</v>
      </c>
      <c r="N8" s="270" t="s">
        <v>379</v>
      </c>
      <c r="O8" s="524">
        <v>93</v>
      </c>
      <c r="P8" s="271">
        <v>99</v>
      </c>
      <c r="Q8" s="524">
        <v>89.7</v>
      </c>
      <c r="R8" s="272">
        <v>95</v>
      </c>
      <c r="S8" s="271">
        <v>99.5</v>
      </c>
      <c r="T8" s="273" t="s">
        <v>11</v>
      </c>
      <c r="U8" s="274">
        <f>(100/O8-1)/$R8*100</f>
        <v>7.9230333899264219E-2</v>
      </c>
      <c r="V8" s="274">
        <f>(100/P8-1)*100/$R8</f>
        <v>1.0632642211589648E-2</v>
      </c>
      <c r="W8" s="498">
        <f>100/Q8-1</f>
        <v>0.11482720178372352</v>
      </c>
      <c r="X8" s="274">
        <f t="shared" si="0"/>
        <v>5.0251256281406143E-3</v>
      </c>
      <c r="Y8" s="275" t="s">
        <v>379</v>
      </c>
      <c r="Z8" s="518">
        <v>20.2</v>
      </c>
      <c r="AA8" s="518">
        <v>0.98</v>
      </c>
      <c r="AB8" s="518">
        <v>4.0000000000000001E-3</v>
      </c>
      <c r="AC8" s="519">
        <v>2.8000000000000001E-2</v>
      </c>
      <c r="AD8" s="518">
        <v>8.9999999999999993E-3</v>
      </c>
      <c r="AE8" s="315">
        <f>44/12*Z8*AA8</f>
        <v>72.585333333333324</v>
      </c>
      <c r="AF8" s="398" t="s">
        <v>379</v>
      </c>
      <c r="AG8" s="399">
        <v>102.4</v>
      </c>
      <c r="AH8" s="400">
        <v>28.29</v>
      </c>
      <c r="AI8" s="400">
        <v>0.08</v>
      </c>
      <c r="AJ8" s="421">
        <v>0.15</v>
      </c>
    </row>
    <row r="9" spans="1:36">
      <c r="A9" s="276" t="s">
        <v>379</v>
      </c>
      <c r="B9" s="277">
        <v>0.03</v>
      </c>
      <c r="C9" s="278">
        <v>0</v>
      </c>
      <c r="D9" s="278">
        <v>0</v>
      </c>
      <c r="E9" s="278">
        <v>0</v>
      </c>
      <c r="F9" s="278">
        <v>0.09</v>
      </c>
      <c r="G9" s="278">
        <v>0</v>
      </c>
      <c r="H9" s="278">
        <v>0</v>
      </c>
      <c r="I9" s="278">
        <v>0</v>
      </c>
      <c r="J9" s="278">
        <v>0.09</v>
      </c>
      <c r="K9" s="279">
        <v>0</v>
      </c>
      <c r="L9" s="279">
        <v>0</v>
      </c>
      <c r="M9" s="279">
        <v>0</v>
      </c>
      <c r="N9" s="270" t="s">
        <v>380</v>
      </c>
      <c r="O9" s="524">
        <v>93</v>
      </c>
      <c r="P9" s="271">
        <v>99</v>
      </c>
      <c r="Q9" s="524">
        <v>89.1</v>
      </c>
      <c r="R9" s="272">
        <v>95</v>
      </c>
      <c r="S9" s="271">
        <v>99.5</v>
      </c>
      <c r="T9" s="273" t="s">
        <v>11</v>
      </c>
      <c r="U9" s="274">
        <f>(100/O9-1)/$R9*100</f>
        <v>7.9230333899264219E-2</v>
      </c>
      <c r="V9" s="274">
        <f>(100/P9-1)*100/$R9</f>
        <v>1.0632642211589648E-2</v>
      </c>
      <c r="W9" s="498">
        <f>100/Q9-1</f>
        <v>0.122334455667789</v>
      </c>
      <c r="X9" s="274">
        <f t="shared" si="0"/>
        <v>5.0251256281406143E-3</v>
      </c>
      <c r="Y9" s="275" t="s">
        <v>380</v>
      </c>
      <c r="Z9" s="518">
        <v>18.899999999999999</v>
      </c>
      <c r="AA9" s="518">
        <v>0.98</v>
      </c>
      <c r="AB9" s="518">
        <v>0.08</v>
      </c>
      <c r="AC9" s="518">
        <v>2E-3</v>
      </c>
      <c r="AD9" s="518">
        <v>8.9999999999999993E-3</v>
      </c>
      <c r="AE9" s="315">
        <f t="shared" si="2"/>
        <v>67.914000000000001</v>
      </c>
      <c r="AF9" s="398" t="s">
        <v>380</v>
      </c>
      <c r="AG9" s="399">
        <v>98.86</v>
      </c>
      <c r="AH9" s="400">
        <v>30.51</v>
      </c>
      <c r="AI9" s="400">
        <v>0.09</v>
      </c>
      <c r="AJ9" s="421">
        <v>0.15</v>
      </c>
    </row>
    <row r="10" spans="1:36">
      <c r="A10" s="276" t="s">
        <v>380</v>
      </c>
      <c r="B10" s="277">
        <v>0</v>
      </c>
      <c r="C10" s="278">
        <v>0</v>
      </c>
      <c r="D10" s="278">
        <v>0</v>
      </c>
      <c r="E10" s="278">
        <v>0</v>
      </c>
      <c r="F10" s="278">
        <v>0.01</v>
      </c>
      <c r="G10" s="278">
        <v>0</v>
      </c>
      <c r="H10" s="278">
        <v>0</v>
      </c>
      <c r="I10" s="278">
        <v>0</v>
      </c>
      <c r="J10" s="278">
        <v>0.01</v>
      </c>
      <c r="K10" s="279">
        <v>0</v>
      </c>
      <c r="L10" s="279">
        <v>0</v>
      </c>
      <c r="M10" s="279">
        <v>0</v>
      </c>
      <c r="N10" s="270" t="s">
        <v>381</v>
      </c>
      <c r="O10" s="271">
        <v>93</v>
      </c>
      <c r="P10" s="271">
        <v>99</v>
      </c>
      <c r="Q10" s="271">
        <v>94</v>
      </c>
      <c r="R10" s="272">
        <v>97</v>
      </c>
      <c r="S10" s="271">
        <v>99.5</v>
      </c>
      <c r="T10" s="273" t="s">
        <v>11</v>
      </c>
      <c r="U10" s="274">
        <f>(100/O10-1)/$R10*100</f>
        <v>7.7596718767320633E-2</v>
      </c>
      <c r="V10" s="274">
        <f>(100/P10-1)*100/$R10</f>
        <v>1.0413412475268212E-2</v>
      </c>
      <c r="W10" s="498">
        <f>100/Q10-1</f>
        <v>6.3829787234042534E-2</v>
      </c>
      <c r="X10" s="274">
        <f t="shared" si="0"/>
        <v>5.0251256281406143E-3</v>
      </c>
      <c r="Y10" s="275" t="s">
        <v>381</v>
      </c>
      <c r="Z10" s="518">
        <v>21.1</v>
      </c>
      <c r="AA10" s="518">
        <v>0.98</v>
      </c>
      <c r="AB10" s="518">
        <v>2E-3</v>
      </c>
      <c r="AC10" s="518">
        <v>0</v>
      </c>
      <c r="AD10" s="518">
        <v>8.9999999999999993E-3</v>
      </c>
      <c r="AE10" s="315">
        <f t="shared" si="2"/>
        <v>75.819333333333333</v>
      </c>
      <c r="AF10" s="398" t="s">
        <v>381</v>
      </c>
      <c r="AG10" s="399">
        <v>102.9</v>
      </c>
      <c r="AH10" s="400">
        <v>25.33</v>
      </c>
      <c r="AI10" s="400">
        <v>7.0000000000000007E-2</v>
      </c>
      <c r="AJ10" s="421">
        <v>0.15</v>
      </c>
    </row>
    <row r="11" spans="1:36" ht="15" thickBot="1">
      <c r="A11" s="276" t="s">
        <v>381</v>
      </c>
      <c r="B11" s="277">
        <v>0</v>
      </c>
      <c r="C11" s="278">
        <v>0</v>
      </c>
      <c r="D11" s="278">
        <v>0</v>
      </c>
      <c r="E11" s="278">
        <v>0</v>
      </c>
      <c r="F11" s="278">
        <v>0.01</v>
      </c>
      <c r="G11" s="278">
        <v>0</v>
      </c>
      <c r="H11" s="278">
        <v>0</v>
      </c>
      <c r="I11" s="278">
        <v>0</v>
      </c>
      <c r="J11" s="278">
        <v>0.01</v>
      </c>
      <c r="K11" s="279">
        <v>0</v>
      </c>
      <c r="L11" s="279">
        <v>0</v>
      </c>
      <c r="M11" s="279">
        <v>0</v>
      </c>
      <c r="N11" s="270" t="s">
        <v>308</v>
      </c>
      <c r="O11" s="271">
        <v>100</v>
      </c>
      <c r="P11" s="271">
        <v>100</v>
      </c>
      <c r="Q11" s="280">
        <v>36.4</v>
      </c>
      <c r="R11" s="281">
        <v>36.4</v>
      </c>
      <c r="S11" s="280">
        <v>93.5</v>
      </c>
      <c r="T11" s="539">
        <f>97*(1-T14/100)</f>
        <v>80.122</v>
      </c>
      <c r="U11" s="282">
        <f>34145/42280</f>
        <v>0.80759224219489123</v>
      </c>
      <c r="V11" s="282"/>
      <c r="W11" s="282">
        <f>T11/Q11/S11*100</f>
        <v>2.3541752365281781</v>
      </c>
      <c r="X11" s="283"/>
      <c r="Y11" s="284" t="s">
        <v>382</v>
      </c>
      <c r="Z11" s="520">
        <v>0</v>
      </c>
      <c r="AA11" s="520">
        <v>0</v>
      </c>
      <c r="AB11" s="520">
        <v>0</v>
      </c>
      <c r="AC11" s="520">
        <v>0</v>
      </c>
      <c r="AD11" s="520">
        <v>0</v>
      </c>
      <c r="AE11" s="316">
        <v>0</v>
      </c>
      <c r="AF11" s="401" t="s">
        <v>382</v>
      </c>
      <c r="AG11" s="402">
        <v>297.7</v>
      </c>
      <c r="AH11" s="402">
        <v>273.31</v>
      </c>
      <c r="AI11" s="402">
        <v>1.01</v>
      </c>
      <c r="AJ11" s="421">
        <v>0.15</v>
      </c>
    </row>
    <row r="12" spans="1:36" ht="15.6" thickTop="1" thickBot="1">
      <c r="A12" s="285" t="s">
        <v>382</v>
      </c>
      <c r="B12" s="286">
        <v>0.15</v>
      </c>
      <c r="C12" s="287">
        <v>0</v>
      </c>
      <c r="D12" s="287">
        <v>0</v>
      </c>
      <c r="E12" s="287">
        <v>0</v>
      </c>
      <c r="F12" s="287">
        <v>0.14000000000000001</v>
      </c>
      <c r="G12" s="287">
        <v>0</v>
      </c>
      <c r="H12" s="287">
        <v>0</v>
      </c>
      <c r="I12" s="287">
        <v>0</v>
      </c>
      <c r="J12" s="287">
        <v>0.14000000000000001</v>
      </c>
      <c r="K12" s="288">
        <v>0</v>
      </c>
      <c r="L12" s="288">
        <v>0</v>
      </c>
      <c r="M12" s="288">
        <v>0</v>
      </c>
      <c r="N12" s="270" t="s">
        <v>310</v>
      </c>
      <c r="O12" s="271">
        <v>100</v>
      </c>
      <c r="P12" s="271">
        <v>100</v>
      </c>
      <c r="Q12" s="271">
        <v>45.9</v>
      </c>
      <c r="R12" s="272">
        <v>45.9</v>
      </c>
      <c r="S12" s="271">
        <v>93.5</v>
      </c>
      <c r="T12" s="539">
        <f>0.8*(1-T14/100)</f>
        <v>0.66080000000000005</v>
      </c>
      <c r="U12" s="282"/>
      <c r="V12" s="282"/>
      <c r="W12" s="282">
        <f>T12/Q12/S12*100</f>
        <v>1.5397341348898443E-2</v>
      </c>
      <c r="X12" s="283"/>
      <c r="Y12" s="283"/>
      <c r="Z12" s="283"/>
    </row>
    <row r="13" spans="1:36" ht="15.6" outlineLevel="1" thickTop="1" thickBot="1">
      <c r="A13" s="262" t="s">
        <v>370</v>
      </c>
      <c r="B13" s="732" t="s">
        <v>377</v>
      </c>
      <c r="C13" s="732"/>
      <c r="D13" s="732"/>
      <c r="E13" s="732"/>
      <c r="F13" s="733" t="s">
        <v>378</v>
      </c>
      <c r="G13" s="733"/>
      <c r="H13" s="733"/>
      <c r="I13" s="733"/>
      <c r="J13" s="733" t="s">
        <v>379</v>
      </c>
      <c r="K13" s="733"/>
      <c r="L13" s="733"/>
      <c r="M13" s="733"/>
      <c r="N13" s="270" t="s">
        <v>309</v>
      </c>
      <c r="O13" s="271">
        <v>100</v>
      </c>
      <c r="P13" s="271">
        <v>100</v>
      </c>
      <c r="Q13" s="271">
        <v>32</v>
      </c>
      <c r="R13" s="272">
        <v>32</v>
      </c>
      <c r="S13" s="271">
        <v>93.5</v>
      </c>
      <c r="T13" s="539">
        <f>100-T11-T12-T14</f>
        <v>1.8171999999999997</v>
      </c>
      <c r="U13" s="282"/>
      <c r="V13" s="282"/>
      <c r="W13" s="282">
        <f>T13/Q13/S13*100</f>
        <v>6.0735294117647047E-2</v>
      </c>
    </row>
    <row r="14" spans="1:36" ht="15" outlineLevel="1" thickBot="1">
      <c r="A14" s="268" t="s">
        <v>367</v>
      </c>
      <c r="B14" s="267">
        <v>1</v>
      </c>
      <c r="C14" s="267">
        <v>2</v>
      </c>
      <c r="D14" s="267">
        <v>3</v>
      </c>
      <c r="E14" s="267">
        <v>4</v>
      </c>
      <c r="F14" s="269">
        <v>1</v>
      </c>
      <c r="G14" s="269">
        <v>2</v>
      </c>
      <c r="H14" s="269">
        <v>3</v>
      </c>
      <c r="I14" s="269">
        <v>4</v>
      </c>
      <c r="J14" s="269">
        <v>1</v>
      </c>
      <c r="K14" s="269">
        <v>2</v>
      </c>
      <c r="L14" s="269">
        <v>3</v>
      </c>
      <c r="M14" s="269">
        <v>4</v>
      </c>
      <c r="N14" s="289" t="s">
        <v>383</v>
      </c>
      <c r="O14" s="290" t="s">
        <v>11</v>
      </c>
      <c r="P14" s="290" t="s">
        <v>11</v>
      </c>
      <c r="Q14" s="290" t="s">
        <v>11</v>
      </c>
      <c r="R14" s="291" t="s">
        <v>11</v>
      </c>
      <c r="S14" s="290" t="s">
        <v>11</v>
      </c>
      <c r="T14" s="540">
        <v>17.399999999999999</v>
      </c>
      <c r="W14" s="282">
        <f>SUM(W11:W13)</f>
        <v>2.4303078719947235</v>
      </c>
    </row>
    <row r="15" spans="1:36" ht="44.4" outlineLevel="1">
      <c r="A15" s="276" t="s">
        <v>371</v>
      </c>
      <c r="B15" s="277">
        <v>0.73</v>
      </c>
      <c r="C15" s="278">
        <v>0</v>
      </c>
      <c r="D15" s="278">
        <v>0</v>
      </c>
      <c r="E15" s="278">
        <v>0</v>
      </c>
      <c r="F15" s="278">
        <v>0.04</v>
      </c>
      <c r="G15" s="278">
        <v>0</v>
      </c>
      <c r="H15" s="278">
        <v>0</v>
      </c>
      <c r="I15" s="278">
        <v>0</v>
      </c>
      <c r="J15" s="278">
        <v>0.04</v>
      </c>
      <c r="K15" s="279">
        <v>0</v>
      </c>
      <c r="L15" s="279">
        <v>5.5608010394595078E-2</v>
      </c>
      <c r="M15" s="279">
        <v>0</v>
      </c>
      <c r="O15" s="292" t="s">
        <v>384</v>
      </c>
      <c r="R15" s="293" t="s">
        <v>385</v>
      </c>
      <c r="U15" s="294" t="s">
        <v>386</v>
      </c>
      <c r="X15" s="292" t="s">
        <v>387</v>
      </c>
      <c r="AB15" s="293" t="s">
        <v>388</v>
      </c>
      <c r="AE15" s="294" t="s">
        <v>389</v>
      </c>
      <c r="AI15" s="295" t="s">
        <v>390</v>
      </c>
    </row>
    <row r="16" spans="1:36" ht="16.8" outlineLevel="1" thickBot="1">
      <c r="A16" s="276" t="s">
        <v>372</v>
      </c>
      <c r="B16" s="277">
        <v>0</v>
      </c>
      <c r="C16" s="278">
        <v>0</v>
      </c>
      <c r="D16" s="278">
        <v>0</v>
      </c>
      <c r="E16" s="278">
        <v>0</v>
      </c>
      <c r="F16" s="278">
        <v>0.43</v>
      </c>
      <c r="G16" s="278">
        <v>0</v>
      </c>
      <c r="H16" s="278">
        <v>0.5</v>
      </c>
      <c r="I16" s="278">
        <v>0</v>
      </c>
      <c r="J16" s="278">
        <v>0.43</v>
      </c>
      <c r="K16" s="279">
        <v>0</v>
      </c>
      <c r="L16" s="279">
        <v>0</v>
      </c>
      <c r="M16" s="279">
        <v>0</v>
      </c>
      <c r="O16" s="292" t="s">
        <v>401</v>
      </c>
      <c r="P16" s="292" t="s">
        <v>402</v>
      </c>
      <c r="R16" s="292" t="s">
        <v>401</v>
      </c>
      <c r="S16" s="292" t="s">
        <v>402</v>
      </c>
      <c r="U16" s="292" t="s">
        <v>401</v>
      </c>
      <c r="V16" s="292" t="s">
        <v>402</v>
      </c>
      <c r="Y16" s="292" t="s">
        <v>401</v>
      </c>
      <c r="Z16" s="292" t="s">
        <v>402</v>
      </c>
      <c r="AB16" s="292" t="s">
        <v>401</v>
      </c>
      <c r="AC16" s="292" t="s">
        <v>402</v>
      </c>
      <c r="AE16" s="292" t="s">
        <v>401</v>
      </c>
      <c r="AF16" s="292" t="s">
        <v>402</v>
      </c>
    </row>
    <row r="17" spans="1:35" ht="16.8" thickBot="1">
      <c r="A17" s="276" t="s">
        <v>373</v>
      </c>
      <c r="B17" s="277">
        <v>0</v>
      </c>
      <c r="C17" s="278">
        <v>0</v>
      </c>
      <c r="D17" s="278">
        <v>0</v>
      </c>
      <c r="E17" s="278">
        <v>0</v>
      </c>
      <c r="F17" s="278">
        <v>0.28000000000000003</v>
      </c>
      <c r="G17" s="278">
        <v>0</v>
      </c>
      <c r="H17" s="278">
        <v>0</v>
      </c>
      <c r="I17" s="278">
        <v>0</v>
      </c>
      <c r="J17" s="278">
        <v>0.28000000000000003</v>
      </c>
      <c r="K17" s="279">
        <v>0</v>
      </c>
      <c r="L17" s="279">
        <v>0.79092999868530911</v>
      </c>
      <c r="M17" s="279">
        <v>0</v>
      </c>
      <c r="N17" s="292" t="s">
        <v>371</v>
      </c>
      <c r="O17" s="296">
        <v>1.0702445504439084</v>
      </c>
      <c r="P17" s="296">
        <f>SUMPRODUCT($B4:$B12,O17:O25)*$U3-O17+1</f>
        <v>8.8817841970012523E-16</v>
      </c>
      <c r="Q17" s="297">
        <v>1.0529999999999999</v>
      </c>
      <c r="R17" s="298">
        <v>2.0890782889715913E-3</v>
      </c>
      <c r="S17" s="296">
        <f>SUMPRODUCT($B4:$B12,R17:R25)*$U3-R17</f>
        <v>7.4593109467002705E-17</v>
      </c>
      <c r="T17" s="297">
        <v>0</v>
      </c>
      <c r="U17" s="299">
        <v>2.7428274248173018E-3</v>
      </c>
      <c r="V17" s="296">
        <f>SUMPRODUCT($B4:$B12,U17:U25)*$U3-U17</f>
        <v>-1.2706849461530112E-16</v>
      </c>
      <c r="W17" s="297">
        <v>2E-3</v>
      </c>
      <c r="X17" s="292" t="s">
        <v>371</v>
      </c>
      <c r="Y17" s="300">
        <v>87.695328702697708</v>
      </c>
      <c r="Z17" s="296">
        <f>SUMPRODUCT($B4:$B12,Y17:Y25)*$U3-Y17+AE3</f>
        <v>1.1510792319313623E-12</v>
      </c>
      <c r="AA17" s="301">
        <f>AE3+AH3</f>
        <v>85.902000000000001</v>
      </c>
      <c r="AB17" s="298">
        <v>0.43577861743910329</v>
      </c>
      <c r="AC17" s="296">
        <f>SUMPRODUCT($B4:$B12,AB17:AB25)*$U3-AB17+AD3+AB3</f>
        <v>0</v>
      </c>
      <c r="AD17" s="302">
        <f>AB3+AI3</f>
        <v>0.42099999999999999</v>
      </c>
      <c r="AE17" s="294">
        <v>1.1311215068169282E-3</v>
      </c>
      <c r="AF17" s="296">
        <f>SUMPRODUCT($B4:$B12,AE17:AE25)*$U3-AE17+AC3</f>
        <v>-2.6020852139652106E-18</v>
      </c>
      <c r="AG17" s="302">
        <f>AC3+AJ3/1000</f>
        <v>1.06E-3</v>
      </c>
      <c r="AH17" s="257">
        <v>0</v>
      </c>
      <c r="AI17" s="303">
        <f>Y17+25*AB17+0.298*AE17</f>
        <v>98.590131212884316</v>
      </c>
    </row>
    <row r="18" spans="1:35" ht="16.8" thickBot="1">
      <c r="A18" s="276" t="s">
        <v>377</v>
      </c>
      <c r="B18" s="277">
        <v>0.08</v>
      </c>
      <c r="C18" s="278">
        <v>0</v>
      </c>
      <c r="D18" s="278">
        <v>0</v>
      </c>
      <c r="E18" s="278">
        <v>0</v>
      </c>
      <c r="F18" s="278">
        <v>0</v>
      </c>
      <c r="G18" s="278">
        <v>0</v>
      </c>
      <c r="H18" s="278">
        <v>0</v>
      </c>
      <c r="I18" s="278">
        <v>0</v>
      </c>
      <c r="J18" s="278">
        <v>0</v>
      </c>
      <c r="K18" s="279">
        <v>0</v>
      </c>
      <c r="L18" s="279">
        <v>3.0320699210673235E-2</v>
      </c>
      <c r="M18" s="279">
        <v>0</v>
      </c>
      <c r="N18" s="292" t="s">
        <v>391</v>
      </c>
      <c r="O18" s="296">
        <v>4.5180817483054178E-2</v>
      </c>
      <c r="P18" s="296">
        <f>SUMPRODUCT($F4:$F12,O17:O25)*$U4-O18</f>
        <v>-9.7144514654701197E-17</v>
      </c>
      <c r="Q18" s="297">
        <v>0.08</v>
      </c>
      <c r="R18" s="298">
        <v>1.0538104109762965</v>
      </c>
      <c r="S18" s="296">
        <f>SUMPRODUCT($F4:$F12,R17:R25)*$U4-R18+1</f>
        <v>0</v>
      </c>
      <c r="T18" s="297">
        <v>1.0109999999999999</v>
      </c>
      <c r="U18" s="299">
        <v>4.8420701656464671E-2</v>
      </c>
      <c r="V18" s="296">
        <f>SUMPRODUCT($F4:$F12,U17:U25)*$U4-U18</f>
        <v>0</v>
      </c>
      <c r="W18" s="297">
        <v>6.4000000000000001E-2</v>
      </c>
      <c r="X18" s="292" t="s">
        <v>391</v>
      </c>
      <c r="Y18" s="300">
        <v>65.710729394379626</v>
      </c>
      <c r="Z18" s="296">
        <f>SUMPRODUCT($F4:$F12,Y17:Y25)*$U4-Y18+AE4</f>
        <v>-1.7763568394002505E-13</v>
      </c>
      <c r="AA18" s="301">
        <f t="shared" ref="AA18:AA24" si="3">AE4+AH4</f>
        <v>67.448999999999998</v>
      </c>
      <c r="AB18" s="298">
        <v>9.59669171691859E-2</v>
      </c>
      <c r="AC18" s="296">
        <f>SUMPRODUCT($F4:$F12,AB17:AB25)*$U4-AB18+AB4+AD4</f>
        <v>0</v>
      </c>
      <c r="AD18" s="302">
        <f t="shared" ref="AD18:AD24" si="4">AB4+AI4</f>
        <v>7.1000000000000008E-2</v>
      </c>
      <c r="AE18" s="294">
        <v>1.4112402266825549E-3</v>
      </c>
      <c r="AF18" s="296">
        <f>SUMPRODUCT($F4:$F12,AE17:AE25)*$U4-AE18+AC4</f>
        <v>0</v>
      </c>
      <c r="AG18" s="302">
        <f t="shared" ref="AG18:AG25" si="5">AC4+AJ4/1000</f>
        <v>1.15E-3</v>
      </c>
      <c r="AH18" s="257">
        <v>0</v>
      </c>
      <c r="AI18" s="303">
        <f t="shared" ref="AI18:AI24" si="6">Y18+25*AB18+0.298*AE18</f>
        <v>68.110322873196822</v>
      </c>
    </row>
    <row r="19" spans="1:35" ht="16.8" thickBot="1">
      <c r="A19" s="276" t="s">
        <v>378</v>
      </c>
      <c r="B19" s="277">
        <v>5.0000000000000001E-3</v>
      </c>
      <c r="C19" s="278">
        <v>0</v>
      </c>
      <c r="D19" s="278">
        <v>0</v>
      </c>
      <c r="E19" s="278">
        <v>0</v>
      </c>
      <c r="F19" s="278">
        <v>0</v>
      </c>
      <c r="G19" s="278">
        <v>0.99</v>
      </c>
      <c r="H19" s="278">
        <v>0</v>
      </c>
      <c r="I19" s="278">
        <v>0</v>
      </c>
      <c r="J19" s="278">
        <v>0</v>
      </c>
      <c r="K19" s="279">
        <v>0</v>
      </c>
      <c r="L19" s="279">
        <v>3.5408723742464003E-2</v>
      </c>
      <c r="M19" s="279">
        <v>0</v>
      </c>
      <c r="N19" s="292" t="s">
        <v>373</v>
      </c>
      <c r="O19" s="296">
        <v>3.1300382004389268E-2</v>
      </c>
      <c r="P19" s="296">
        <f>SUMPRODUCT($J4:$J12,O17:O25)*$U5-O19</f>
        <v>-6.2450045135165055E-17</v>
      </c>
      <c r="Q19" s="297">
        <v>9.7000000000000003E-2</v>
      </c>
      <c r="R19" s="298">
        <v>3.7278794700936674E-2</v>
      </c>
      <c r="S19" s="296">
        <f>SUMPRODUCT($J4:$J12,R17:R25)*$U5-R19</f>
        <v>0</v>
      </c>
      <c r="T19" s="297">
        <v>2.3E-2</v>
      </c>
      <c r="U19" s="299">
        <v>1.0335449100569365</v>
      </c>
      <c r="V19" s="296">
        <f>SUMPRODUCT($J4:$J12,U17:U25)*$U5-U19+1</f>
        <v>0</v>
      </c>
      <c r="W19" s="297">
        <v>1.0469999999999999</v>
      </c>
      <c r="X19" s="292" t="s">
        <v>373</v>
      </c>
      <c r="Y19" s="300">
        <v>78.91344079395634</v>
      </c>
      <c r="Z19" s="296">
        <f>SUMPRODUCT($J4:$J12,Y17:Y25)*$U5-Y19+AE5</f>
        <v>-6.9633188104489818E-13</v>
      </c>
      <c r="AA19" s="301">
        <f t="shared" si="3"/>
        <v>87.86666666666666</v>
      </c>
      <c r="AB19" s="298">
        <v>2.6911028637945936E-2</v>
      </c>
      <c r="AC19" s="296">
        <f>SUMPRODUCT($J4:$J12,AB17:AB25)*$U5-AB19+AB5+AD5</f>
        <v>0</v>
      </c>
      <c r="AD19" s="302">
        <f t="shared" si="4"/>
        <v>5.2000000000000005E-2</v>
      </c>
      <c r="AE19" s="294">
        <v>2.8489914321633102E-4</v>
      </c>
      <c r="AF19" s="296">
        <f>SUMPRODUCT($J4:$J12,AE17:AE25)*$U5-AE19+AC5</f>
        <v>1.3552527156068805E-18</v>
      </c>
      <c r="AG19" s="302">
        <f t="shared" si="5"/>
        <v>1.4999999999999999E-4</v>
      </c>
      <c r="AH19" s="257">
        <v>0</v>
      </c>
      <c r="AI19" s="303">
        <f t="shared" si="6"/>
        <v>79.586301409849668</v>
      </c>
    </row>
    <row r="20" spans="1:35" ht="16.8" thickBot="1">
      <c r="A20" s="276" t="s">
        <v>379</v>
      </c>
      <c r="B20" s="277">
        <v>0.03</v>
      </c>
      <c r="C20" s="278">
        <v>0.78</v>
      </c>
      <c r="D20" s="278">
        <v>0</v>
      </c>
      <c r="E20" s="278">
        <v>0</v>
      </c>
      <c r="F20" s="278">
        <v>0.09</v>
      </c>
      <c r="G20" s="278">
        <v>0</v>
      </c>
      <c r="H20" s="278">
        <v>0</v>
      </c>
      <c r="I20" s="278">
        <v>0</v>
      </c>
      <c r="J20" s="278">
        <v>0.09</v>
      </c>
      <c r="K20" s="279">
        <v>0.03</v>
      </c>
      <c r="L20" s="279">
        <v>2.9341510596920888E-3</v>
      </c>
      <c r="M20" s="279">
        <v>0.10278512525283957</v>
      </c>
      <c r="N20" s="292" t="s">
        <v>377</v>
      </c>
      <c r="O20" s="296">
        <v>1.0725952042692279</v>
      </c>
      <c r="P20" s="296">
        <f>SUMPRODUCT($B15:$B23,O17:O25)*$U6+SUMPRODUCT($C15:$C23,O17:O25)*$V6-O20+1</f>
        <v>0</v>
      </c>
      <c r="Q20" s="297">
        <v>1.0609999999999999</v>
      </c>
      <c r="R20" s="298">
        <v>2.7284813392808517E-3</v>
      </c>
      <c r="S20" s="296">
        <f>SUMPRODUCT($B15:$B23,R17:R25)*$U6+SUMPRODUCT($C15:$C23,R17:R25)*$V6-R20</f>
        <v>6.5485811218124468E-17</v>
      </c>
      <c r="T20" s="297">
        <v>1E-3</v>
      </c>
      <c r="U20" s="299">
        <v>1.4748902545763573E-2</v>
      </c>
      <c r="V20" s="296">
        <f>SUMPRODUCT($B15:$B23,U17:U25)*$U6+SUMPRODUCT($C15:$C23,U17:U25)*$V6-U20</f>
        <v>-9.0205620750793969E-17</v>
      </c>
      <c r="W20" s="297">
        <v>0.11</v>
      </c>
      <c r="X20" s="292" t="s">
        <v>377</v>
      </c>
      <c r="Y20" s="300">
        <v>88.792860797910677</v>
      </c>
      <c r="Z20" s="296">
        <f>SUMPRODUCT($B15:$B23,Y17:Y25)*$U6+SUMPRODUCT($C15:$C23,Y17:Y25)*$V6-Y20+AE6</f>
        <v>5.4001247917767614E-13</v>
      </c>
      <c r="AA20" s="301">
        <f t="shared" si="3"/>
        <v>87.372</v>
      </c>
      <c r="AB20" s="298">
        <v>0.4370024476495683</v>
      </c>
      <c r="AC20" s="296">
        <f>SUMPRODUCT($B15:$B23,AB17:AB25)*$U6+SUMPRODUCT($C15:$C23,AB17:AB25)*$V6-AB20+AB6+AD6</f>
        <v>0</v>
      </c>
      <c r="AD20" s="302">
        <f t="shared" si="4"/>
        <v>0.43099999999999999</v>
      </c>
      <c r="AE20" s="294">
        <v>1.3823713978147727E-3</v>
      </c>
      <c r="AF20" s="296">
        <f>SUMPRODUCT($B15:$B23,AE17:AE25)*$U6+SUMPRODUCT($C15:$C23,AE17:AE25)*$V6-AE20+AC6</f>
        <v>-3.6862873864507151E-18</v>
      </c>
      <c r="AG20" s="302">
        <f t="shared" si="5"/>
        <v>1.15E-3</v>
      </c>
      <c r="AH20" s="257">
        <v>0</v>
      </c>
      <c r="AI20" s="303">
        <f t="shared" si="6"/>
        <v>99.718333935826436</v>
      </c>
    </row>
    <row r="21" spans="1:35" ht="16.8" thickBot="1">
      <c r="A21" s="276" t="s">
        <v>380</v>
      </c>
      <c r="B21" s="277">
        <v>0</v>
      </c>
      <c r="C21" s="278">
        <v>0.08</v>
      </c>
      <c r="D21" s="278">
        <v>0</v>
      </c>
      <c r="E21" s="278">
        <v>0</v>
      </c>
      <c r="F21" s="278">
        <v>0.01</v>
      </c>
      <c r="G21" s="278">
        <v>0</v>
      </c>
      <c r="H21" s="278">
        <v>0</v>
      </c>
      <c r="I21" s="278">
        <v>0</v>
      </c>
      <c r="J21" s="278">
        <v>0.01</v>
      </c>
      <c r="K21" s="279">
        <v>0</v>
      </c>
      <c r="L21" s="279">
        <v>4.545074262962084E-3</v>
      </c>
      <c r="M21" s="279">
        <v>5.7569628131320992E-4</v>
      </c>
      <c r="N21" s="292" t="s">
        <v>378</v>
      </c>
      <c r="O21" s="296">
        <v>4.5458234680092517E-2</v>
      </c>
      <c r="P21" s="296">
        <f>SUMPRODUCT($F15:$F23,O17:O25)*$U7+SUMPRODUCT($G15:$G23,O17:O25)*$V7-O21</f>
        <v>-1.2490009027033011E-16</v>
      </c>
      <c r="Q21" s="297">
        <v>8.1000000000000003E-2</v>
      </c>
      <c r="R21" s="298">
        <v>1.0580245317407337</v>
      </c>
      <c r="S21" s="296">
        <f>SUMPRODUCT($F15:$F23,R17:R25)*$U7+SUMPRODUCT($G15:$G23,R17:R25)*$V7-R21+1</f>
        <v>0</v>
      </c>
      <c r="T21" s="297">
        <v>1.0149999999999999</v>
      </c>
      <c r="U21" s="299">
        <v>4.8616730196789741E-2</v>
      </c>
      <c r="V21" s="296">
        <f>SUMPRODUCT($F15:$F23,U17:U25)*$U7+SUMPRODUCT($G15:$G23,U17:U25)*$V7-U21</f>
        <v>-4.0939474033052647E-16</v>
      </c>
      <c r="W21" s="297">
        <v>6.5000000000000002E-2</v>
      </c>
      <c r="X21" s="292" t="s">
        <v>378</v>
      </c>
      <c r="Y21" s="300">
        <v>67.439384034226464</v>
      </c>
      <c r="Z21" s="296">
        <f>SUMPRODUCT($F15:$F23,Y17:Y25)*$U7+SUMPRODUCT($G15:$G23,Y17:Y25)*$V7-Y21+AE7</f>
        <v>-1.9184653865522705E-13</v>
      </c>
      <c r="AA21" s="301">
        <f t="shared" si="3"/>
        <v>70.530999999999992</v>
      </c>
      <c r="AB21" s="298">
        <v>9.6390091746589926E-2</v>
      </c>
      <c r="AC21" s="296">
        <f>SUMPRODUCT($F15:$F23,AB17:AB25)*$U7+SUMPRODUCT($G15:$G23,AB17:AB25)*$V7-AB21+AB7+AD7</f>
        <v>0</v>
      </c>
      <c r="AD21" s="302">
        <f t="shared" si="4"/>
        <v>0.111</v>
      </c>
      <c r="AE21" s="294">
        <v>1.4170082865155201E-3</v>
      </c>
      <c r="AF21" s="296">
        <f>SUMPRODUCT($F15:$F23,AE17:AE25)*$U7+SUMPRODUCT($G15:$G23,AE17:AE25)*$V7-AE21+AC7</f>
        <v>-2.6020852139652106E-18</v>
      </c>
      <c r="AG21" s="302">
        <f t="shared" si="5"/>
        <v>1.15E-3</v>
      </c>
      <c r="AH21" s="257">
        <v>0</v>
      </c>
      <c r="AI21" s="303">
        <f t="shared" si="6"/>
        <v>69.849558596360595</v>
      </c>
    </row>
    <row r="22" spans="1:35" ht="16.8" thickBot="1">
      <c r="A22" s="276" t="s">
        <v>381</v>
      </c>
      <c r="B22" s="277">
        <v>0</v>
      </c>
      <c r="C22" s="278">
        <v>0.08</v>
      </c>
      <c r="D22" s="278">
        <v>0</v>
      </c>
      <c r="E22" s="278">
        <v>0</v>
      </c>
      <c r="F22" s="278">
        <v>0.01</v>
      </c>
      <c r="G22" s="278">
        <v>0</v>
      </c>
      <c r="H22" s="278">
        <v>0</v>
      </c>
      <c r="I22" s="278">
        <v>0</v>
      </c>
      <c r="J22" s="278">
        <v>0.01</v>
      </c>
      <c r="K22" s="279">
        <v>0.72</v>
      </c>
      <c r="L22" s="279">
        <v>2.0938586860944974E-2</v>
      </c>
      <c r="M22" s="279">
        <v>0.72817799906643843</v>
      </c>
      <c r="N22" s="292" t="s">
        <v>379</v>
      </c>
      <c r="O22" s="296">
        <v>7.2286083298277556E-2</v>
      </c>
      <c r="P22" s="296">
        <f>SUMPRODUCT($J15:$J23,O17:O25)*$U8+SUMPRODUCT($K15:$K23,O17:O25)*$V8+SUMPRODUCT($L15:$L23,O17:O25)*$W8+SUMPRODUCT($M15:$M23,O17:O25)*$X8-O22</f>
        <v>1.6653345369377348E-16</v>
      </c>
      <c r="Q22" s="297">
        <v>0.156</v>
      </c>
      <c r="R22" s="298">
        <v>4.9578985063534531E-2</v>
      </c>
      <c r="S22" s="296">
        <f>SUMPRODUCT($J15:$J23,R17:R25)*$U8+SUMPRODUCT($K15:$K23,R17:R25)*$V8+SUMPRODUCT($L15:$L23,R17:R25)*$W8+SUMPRODUCT($M15:$M23,R17:R25)*$X8-R22</f>
        <v>0</v>
      </c>
      <c r="T22" s="297">
        <v>2.7E-2</v>
      </c>
      <c r="U22" s="304">
        <v>1.1472286156546083</v>
      </c>
      <c r="V22" s="296">
        <f>SUMPRODUCT($J15:$J23,U17:U25)*$U8+SUMPRODUCT($K15:$K23,U17:U25)*$V8+SUMPRODUCT($L15:$L23,U17:U25)*$W8+SUMPRODUCT($M15:$M23,U17:U25)*$X8-U22+1</f>
        <v>3.1086244689504383E-15</v>
      </c>
      <c r="W22" s="297">
        <v>1.119</v>
      </c>
      <c r="X22" s="292" t="s">
        <v>379</v>
      </c>
      <c r="Y22" s="300">
        <v>91.89694400968402</v>
      </c>
      <c r="Z22" s="296">
        <f>SUMPRODUCT($J15:$J23,Y17:Y25)*$U8+SUMPRODUCT($K15:$K23,Y17:Y25)*$V8+SUMPRODUCT($L15:$L23,Y17:Y25)*$W8+SUMPRODUCT($M15:$M23,Y17:Y25)*$X8-Y22+AE8</f>
        <v>2.1742607714259066E-12</v>
      </c>
      <c r="AA22" s="301">
        <f t="shared" si="3"/>
        <v>100.87533333333332</v>
      </c>
      <c r="AB22" s="298">
        <v>4.780071252876382E-2</v>
      </c>
      <c r="AC22" s="296">
        <f>SUMPRODUCT($J15:$J23,AB17:AB25)*$U8+SUMPRODUCT($K15:$K23,AB17:AB25)*$V8+SUMPRODUCT($L15:$L23,AB17:AB25)*$W8+SUMPRODUCT($M15:$M23,AB17:AB25)*$X8-AB22+AB8+AD8</f>
        <v>7.8062556418956319E-17</v>
      </c>
      <c r="AD22" s="302">
        <f t="shared" si="4"/>
        <v>8.4000000000000005E-2</v>
      </c>
      <c r="AE22" s="294">
        <v>2.8417689025255922E-2</v>
      </c>
      <c r="AF22" s="296">
        <f>SUMPRODUCT($J15:$J23,AE17:AE25)*$U8+SUMPRODUCT($K15:$K23,AE17:AE25)*$V8+SUMPRODUCT($L15:$L23,AE17:AE25)*$W8+SUMPRODUCT($M15:$M23,AE17:AE25)*$X8-AE22+AC8</f>
        <v>0</v>
      </c>
      <c r="AG22" s="302">
        <f>AC8+AJ8/1000</f>
        <v>2.8150000000000001E-2</v>
      </c>
      <c r="AH22" s="257">
        <v>0</v>
      </c>
      <c r="AI22" s="303">
        <f t="shared" si="6"/>
        <v>93.100430294232638</v>
      </c>
    </row>
    <row r="23" spans="1:35" ht="16.8" thickBot="1">
      <c r="A23" s="285" t="s">
        <v>382</v>
      </c>
      <c r="B23" s="286">
        <v>0.15</v>
      </c>
      <c r="C23" s="287">
        <v>0.06</v>
      </c>
      <c r="D23" s="287">
        <v>0</v>
      </c>
      <c r="E23" s="287">
        <v>0</v>
      </c>
      <c r="F23" s="287">
        <v>0.14000000000000001</v>
      </c>
      <c r="G23" s="287">
        <v>0.01</v>
      </c>
      <c r="H23" s="287">
        <v>0.5</v>
      </c>
      <c r="I23" s="287">
        <v>0</v>
      </c>
      <c r="J23" s="287">
        <v>0.14000000000000001</v>
      </c>
      <c r="K23" s="288">
        <v>0.25</v>
      </c>
      <c r="L23" s="288">
        <v>5.9314755783359423E-2</v>
      </c>
      <c r="M23" s="288">
        <v>0.16846117939940874</v>
      </c>
      <c r="N23" s="292" t="s">
        <v>380</v>
      </c>
      <c r="O23" s="296">
        <v>7.4260045413688622E-2</v>
      </c>
      <c r="P23" s="296">
        <f>SUMPRODUCT($B26:$B34,O17:O25)*$U9+SUMPRODUCT($C26:$C34,O17:O25)*$V9+SUMPRODUCT($D26:$D34,O17:O25)*$W9+SUMPRODUCT($E26:$E34,O17:O25)*$X9-O23</f>
        <v>0</v>
      </c>
      <c r="Q23" s="297">
        <v>0.16400000000000001</v>
      </c>
      <c r="R23" s="298">
        <v>5.0176246572035947E-2</v>
      </c>
      <c r="S23" s="296">
        <f>SUMPRODUCT($B26:$B34,R17:R25)*$U9+SUMPRODUCT($C26:$C34,R17:R25)*$V9+SUMPRODUCT($D26:$D34,R17:R25)*$W9+SUMPRODUCT($E26:$E34,R17:R25)*$X9-R23</f>
        <v>0</v>
      </c>
      <c r="T23" s="297">
        <v>4.9000000000000002E-2</v>
      </c>
      <c r="U23" s="304">
        <v>1.1536512570529016</v>
      </c>
      <c r="V23" s="296">
        <f>SUMPRODUCT($B26:$B34,U17:U25)*$U9+SUMPRODUCT($C26:$C34,U17:U25)*$V9+SUMPRODUCT($D26:$D34,U17:U25)*$W9+SUMPRODUCT($E26:$E34,U17:U25)*$X9-U23+1</f>
        <v>1.1102230246251565E-15</v>
      </c>
      <c r="W23" s="297">
        <v>1.1299999999999999</v>
      </c>
      <c r="X23" s="292" t="s">
        <v>380</v>
      </c>
      <c r="Y23" s="300">
        <v>87.882655815487354</v>
      </c>
      <c r="Z23" s="296">
        <f>SUMPRODUCT($B26:$B34,Y17:Y25)*$U9+SUMPRODUCT($C26:$C34,Y17:Y25)*$V9+SUMPRODUCT($D26:$D34,Y17:Y25)*$W9+SUMPRODUCT($E26:$E34,Y17:Y25)*$X9-Y23+AE9</f>
        <v>-8.6686213762732223E-13</v>
      </c>
      <c r="AA23" s="301">
        <f t="shared" si="3"/>
        <v>98.424000000000007</v>
      </c>
      <c r="AB23" s="298">
        <v>0.12472173975653571</v>
      </c>
      <c r="AC23" s="296">
        <f>SUMPRODUCT($B26:$B34,AB17:AB25)*$U9+SUMPRODUCT($C26:$C34,AB17:AB25)*$V9+SUMPRODUCT($D26:$D34,AB17:AB25)*$W9+SUMPRODUCT($E26:$E34,AB17:AB25)*$X9-AB23+AB9+AD9</f>
        <v>3.2959746043559335E-17</v>
      </c>
      <c r="AD23" s="302">
        <f t="shared" si="4"/>
        <v>0.16999999999999998</v>
      </c>
      <c r="AE23" s="294">
        <v>2.4227986199632139E-3</v>
      </c>
      <c r="AF23" s="296">
        <f>SUMPRODUCT($B26:$B34,AE17:AE25)*$U9+SUMPRODUCT($C26:$C34,AE17:AE25)*$V9+SUMPRODUCT($D26:$D34,AE17:AE25)*$W9+SUMPRODUCT($E26:$E34,AE17:AE25)*$X9-AE23+AC9</f>
        <v>1.2576745200831851E-17</v>
      </c>
      <c r="AG23" s="302">
        <f t="shared" si="5"/>
        <v>2.15E-3</v>
      </c>
      <c r="AH23" s="257">
        <v>0</v>
      </c>
      <c r="AI23" s="303">
        <f t="shared" si="6"/>
        <v>91.001421303389492</v>
      </c>
    </row>
    <row r="24" spans="1:35" ht="17.399999999999999" thickTop="1" thickBot="1">
      <c r="A24" s="262" t="s">
        <v>370</v>
      </c>
      <c r="B24" s="732" t="s">
        <v>380</v>
      </c>
      <c r="C24" s="732"/>
      <c r="D24" s="732"/>
      <c r="E24" s="732"/>
      <c r="F24" s="732" t="s">
        <v>381</v>
      </c>
      <c r="G24" s="732"/>
      <c r="H24" s="732"/>
      <c r="I24" s="732"/>
      <c r="J24" s="732" t="s">
        <v>392</v>
      </c>
      <c r="K24" s="732"/>
      <c r="L24" s="732"/>
      <c r="M24" s="732"/>
      <c r="N24" s="292" t="s">
        <v>381</v>
      </c>
      <c r="O24" s="296">
        <v>5.7272768689944228E-2</v>
      </c>
      <c r="P24" s="296">
        <f>SUMPRODUCT($F26:$F34,O17:O25)*$U10+SUMPRODUCT($G26:$G34,O17:O25)*$V10+SUMPRODUCT($H26:$H34,O17:O25)*$W10+SUMPRODUCT($I26:$I34,O17:O25)*$X10-O24</f>
        <v>0</v>
      </c>
      <c r="Q24" s="297">
        <v>0.13900000000000001</v>
      </c>
      <c r="R24" s="298">
        <v>4.4646692164637548E-2</v>
      </c>
      <c r="S24" s="296">
        <f>SUMPRODUCT($F26:$F34,R17:R25)*$U10+SUMPRODUCT($G26:$G34,R17:R25)*$V10+SUMPRODUCT($H26:$H34,R17:R25)*$W10+SUMPRODUCT($I26:$I34,R17:R25)*$X10-R24</f>
        <v>0</v>
      </c>
      <c r="T24" s="297">
        <v>2.5999999999999999E-2</v>
      </c>
      <c r="U24" s="304">
        <v>1.1030202107445195</v>
      </c>
      <c r="V24" s="296">
        <f>SUMPRODUCT($F26:$F34,U17:U25)*$U10+SUMPRODUCT($G26:$G34,U17:U25)*$V10+SUMPRODUCT($H26:$H34,U17:U25)*$W10+SUMPRODUCT($I26:$I34,U17:U25)*$X10-U24+1</f>
        <v>3.4861002973229915E-14</v>
      </c>
      <c r="W24" s="297">
        <v>1.0549999999999999</v>
      </c>
      <c r="X24" s="292" t="s">
        <v>381</v>
      </c>
      <c r="Y24" s="300">
        <v>90.447417043030526</v>
      </c>
      <c r="Z24" s="296">
        <f>SUMPRODUCT($F26:$F34,Y17:Y25)*$U10+SUMPRODUCT($G26:$G34,Y17:Y25)*$V10+SUMPRODUCT($H26:$H34,Y17:Y25)*$W10+SUMPRODUCT($I26:$I34,Y17:Y25)*$X10-Y24+AE10</f>
        <v>-1.7053025658242404E-12</v>
      </c>
      <c r="AA24" s="301">
        <f t="shared" si="3"/>
        <v>101.14933333333333</v>
      </c>
      <c r="AB24" s="298">
        <v>3.8818662876948136E-2</v>
      </c>
      <c r="AC24" s="296">
        <f>SUMPRODUCT($F26:$F34,AB17:AB25)*$U10+SUMPRODUCT($G26:$G34,AB17:AB25)*$V10+SUMPRODUCT($H26:$H34,AB17:AB25)*$W10+SUMPRODUCT($I26:$I34,AB17:AB25)*$X10-AB24+AB10+AD10</f>
        <v>-1.3877787807814457E-17</v>
      </c>
      <c r="AD24" s="302">
        <f t="shared" si="4"/>
        <v>7.2000000000000008E-2</v>
      </c>
      <c r="AE24" s="294">
        <v>3.696974098112914E-4</v>
      </c>
      <c r="AF24" s="296">
        <f>SUMPRODUCT($F26:$F34,AE17:AE25)*$U10+SUMPRODUCT($G26:$G34,AE17:AE25)*$V10+SUMPRODUCT($H26:$H34,AE17:AE25)*$W10+SUMPRODUCT($I26:$I34,AE17:AE25)*$X10-AE24+AC10</f>
        <v>4.3368086899420177E-19</v>
      </c>
      <c r="AG24" s="302">
        <f t="shared" si="5"/>
        <v>1.4999999999999999E-4</v>
      </c>
      <c r="AH24" s="257">
        <v>0</v>
      </c>
      <c r="AI24" s="303">
        <f t="shared" si="6"/>
        <v>91.417993784782354</v>
      </c>
    </row>
    <row r="25" spans="1:35" ht="16.8" thickBot="1">
      <c r="A25" s="268" t="s">
        <v>367</v>
      </c>
      <c r="B25" s="267">
        <v>1</v>
      </c>
      <c r="C25" s="267">
        <v>2</v>
      </c>
      <c r="D25" s="267">
        <v>3</v>
      </c>
      <c r="E25" s="267">
        <v>4</v>
      </c>
      <c r="F25" s="267">
        <v>1</v>
      </c>
      <c r="G25" s="267">
        <v>2</v>
      </c>
      <c r="H25" s="267">
        <v>3</v>
      </c>
      <c r="I25" s="267">
        <v>4</v>
      </c>
      <c r="J25" s="267">
        <v>1</v>
      </c>
      <c r="K25" s="267">
        <v>2</v>
      </c>
      <c r="L25" s="267">
        <v>3</v>
      </c>
      <c r="M25" s="267">
        <v>4</v>
      </c>
      <c r="N25" s="292" t="s">
        <v>382</v>
      </c>
      <c r="O25" s="296">
        <v>2.4073229729246317</v>
      </c>
      <c r="P25" s="296">
        <f>SUMPRODUCT($L26:$L34,O17:O25)*W14-O25</f>
        <v>0</v>
      </c>
      <c r="Q25" s="297">
        <v>2.5720000000000001</v>
      </c>
      <c r="R25" s="298">
        <v>0.18717839215522458</v>
      </c>
      <c r="S25" s="296">
        <f>SUMPRODUCT($L26:$L34,R17:R25)*W14-R25</f>
        <v>0</v>
      </c>
      <c r="T25" s="297">
        <v>2.1000000000000001E-2</v>
      </c>
      <c r="U25" s="299">
        <v>6.8054364602401593E-2</v>
      </c>
      <c r="V25" s="296">
        <f>SUMPRODUCT($L26:$L34,U17:U25)*W14-U25</f>
        <v>4.163336342344337E-16</v>
      </c>
      <c r="W25" s="297">
        <v>0.33</v>
      </c>
      <c r="X25" s="292" t="s">
        <v>382</v>
      </c>
      <c r="Y25" s="305">
        <v>212.201512797639</v>
      </c>
      <c r="Z25" s="296">
        <f>SUMPRODUCT($L26:$L34,Y17:Y25)*W14-Y25</f>
        <v>0</v>
      </c>
      <c r="AA25" s="301">
        <f>AE11+AH11</f>
        <v>273.31</v>
      </c>
      <c r="AB25" s="298">
        <v>0.99442789444789459</v>
      </c>
      <c r="AC25" s="296">
        <f>SUMPRODUCT($L26:$L34,AB17:AB25)*W14-AB25</f>
        <v>0</v>
      </c>
      <c r="AD25" s="302">
        <f>AI11</f>
        <v>1.01</v>
      </c>
      <c r="AE25" s="294">
        <v>3.3408694757104565E-3</v>
      </c>
      <c r="AF25" s="296">
        <f>SUMPRODUCT($L26:$L34,AE17:AE25)*W14-AE25+AC11</f>
        <v>2.1684043449710089E-18</v>
      </c>
      <c r="AG25" s="302">
        <f t="shared" si="5"/>
        <v>1.4999999999999999E-4</v>
      </c>
      <c r="AH25" s="257">
        <v>0</v>
      </c>
      <c r="AI25" s="303">
        <f>Y25+25*AB25+0.298*AE25</f>
        <v>237.06320573794014</v>
      </c>
    </row>
    <row r="26" spans="1:35" ht="57.6">
      <c r="A26" s="276" t="s">
        <v>371</v>
      </c>
      <c r="B26" s="277">
        <v>0.04</v>
      </c>
      <c r="C26" s="278">
        <v>0</v>
      </c>
      <c r="D26" s="278">
        <v>5.5608010394595078E-2</v>
      </c>
      <c r="E26" s="278">
        <v>0</v>
      </c>
      <c r="F26" s="278">
        <v>0.04</v>
      </c>
      <c r="G26" s="278">
        <v>0</v>
      </c>
      <c r="H26" s="278">
        <v>5.5608010394595078E-2</v>
      </c>
      <c r="I26" s="278">
        <v>0</v>
      </c>
      <c r="J26" s="278">
        <v>0</v>
      </c>
      <c r="K26" s="279">
        <v>0</v>
      </c>
      <c r="L26" s="279">
        <v>0</v>
      </c>
      <c r="M26" s="279">
        <v>0</v>
      </c>
      <c r="W26" s="257" t="s">
        <v>393</v>
      </c>
      <c r="Y26" s="306" t="s">
        <v>394</v>
      </c>
      <c r="Z26" s="306" t="s">
        <v>395</v>
      </c>
      <c r="AA26" s="306" t="s">
        <v>396</v>
      </c>
      <c r="AB26" s="306" t="s">
        <v>397</v>
      </c>
      <c r="AD26" s="312" t="s">
        <v>399</v>
      </c>
      <c r="AE26" s="312" t="s">
        <v>400</v>
      </c>
    </row>
    <row r="27" spans="1:35" ht="16.2">
      <c r="A27" s="276" t="s">
        <v>372</v>
      </c>
      <c r="B27" s="277">
        <v>0.43</v>
      </c>
      <c r="C27" s="278">
        <v>0</v>
      </c>
      <c r="D27" s="278">
        <v>0</v>
      </c>
      <c r="E27" s="278">
        <v>0</v>
      </c>
      <c r="F27" s="278">
        <v>0.43</v>
      </c>
      <c r="G27" s="278">
        <v>0</v>
      </c>
      <c r="H27" s="278">
        <v>0</v>
      </c>
      <c r="I27" s="278">
        <v>0</v>
      </c>
      <c r="J27" s="278">
        <v>0</v>
      </c>
      <c r="K27" s="279">
        <v>0</v>
      </c>
      <c r="L27" s="279">
        <v>0</v>
      </c>
      <c r="M27" s="279">
        <v>0</v>
      </c>
      <c r="V27" s="257" t="str">
        <f t="shared" ref="V27:V35" si="7">X17</f>
        <v>原煤</v>
      </c>
      <c r="W27" s="307">
        <f>O17+R17+U17</f>
        <v>1.0750764561576973</v>
      </c>
      <c r="Y27" s="296">
        <f>Y17-AE3</f>
        <v>6.0533287026977121</v>
      </c>
      <c r="Z27" s="300">
        <f>AI17-AE3</f>
        <v>16.94813121288432</v>
      </c>
      <c r="AA27" s="308">
        <f>Y27/AE3</f>
        <v>7.4144787029932047E-2</v>
      </c>
      <c r="AB27" s="308">
        <f>Z27/AE3</f>
        <v>0.20759083820685825</v>
      </c>
      <c r="AD27" s="309">
        <f>AB17-AB3</f>
        <v>0.43477861743910329</v>
      </c>
      <c r="AE27" s="310">
        <f>(AE17-AC3)*1000</f>
        <v>0.13112150681692816</v>
      </c>
    </row>
    <row r="28" spans="1:35" ht="16.2">
      <c r="A28" s="276" t="s">
        <v>373</v>
      </c>
      <c r="B28" s="277">
        <v>0.28000000000000003</v>
      </c>
      <c r="C28" s="278">
        <v>0</v>
      </c>
      <c r="D28" s="278">
        <v>0.79092999868530911</v>
      </c>
      <c r="E28" s="278">
        <v>0</v>
      </c>
      <c r="F28" s="278">
        <v>0.28000000000000003</v>
      </c>
      <c r="G28" s="278">
        <v>0</v>
      </c>
      <c r="H28" s="278">
        <v>0.79092999868530911</v>
      </c>
      <c r="I28" s="278">
        <v>0</v>
      </c>
      <c r="J28" s="278">
        <v>0</v>
      </c>
      <c r="K28" s="279">
        <v>0</v>
      </c>
      <c r="L28" s="279">
        <v>0</v>
      </c>
      <c r="M28" s="279">
        <v>0</v>
      </c>
      <c r="V28" s="257" t="str">
        <f t="shared" si="7"/>
        <v>原气</v>
      </c>
      <c r="W28" s="307">
        <f>O18+R18+U18</f>
        <v>1.1474119301158152</v>
      </c>
      <c r="Y28" s="296">
        <f t="shared" ref="Y28:Y34" si="8">Y18-AE4</f>
        <v>10.171729394379625</v>
      </c>
      <c r="Z28" s="300">
        <f>AI18-AE4</f>
        <v>12.57132287319682</v>
      </c>
      <c r="AA28" s="308">
        <f t="shared" ref="AA28:AA34" si="9">Y28/AE4</f>
        <v>0.18314570651937601</v>
      </c>
      <c r="AB28" s="308">
        <f t="shared" ref="AB28:AB33" si="10">Z28/AE4</f>
        <v>0.22635126439433226</v>
      </c>
      <c r="AD28" s="309">
        <f t="shared" ref="AD28:AD35" si="11">AB18-AB4</f>
        <v>9.4966917169185899E-2</v>
      </c>
      <c r="AE28" s="310">
        <f t="shared" ref="AE28:AE35" si="12">(AE18-AC4)*1000</f>
        <v>0.41124022668255489</v>
      </c>
    </row>
    <row r="29" spans="1:35" ht="16.2">
      <c r="A29" s="276" t="s">
        <v>377</v>
      </c>
      <c r="B29" s="277">
        <v>0</v>
      </c>
      <c r="C29" s="278">
        <v>0</v>
      </c>
      <c r="D29" s="278">
        <v>3.0320699210673235E-2</v>
      </c>
      <c r="E29" s="278">
        <v>0</v>
      </c>
      <c r="F29" s="278">
        <v>0</v>
      </c>
      <c r="G29" s="278">
        <v>0</v>
      </c>
      <c r="H29" s="278">
        <v>3.0320699210673235E-2</v>
      </c>
      <c r="I29" s="278">
        <v>0</v>
      </c>
      <c r="J29" s="278">
        <v>0</v>
      </c>
      <c r="K29" s="279">
        <v>0</v>
      </c>
      <c r="L29" s="279">
        <v>0.92</v>
      </c>
      <c r="M29" s="279">
        <v>0</v>
      </c>
      <c r="V29" s="257" t="str">
        <f t="shared" si="7"/>
        <v>原油</v>
      </c>
      <c r="W29" s="307">
        <f t="shared" ref="W29:W35" si="13">O19+R19+U19</f>
        <v>1.1021240867622624</v>
      </c>
      <c r="Y29" s="296">
        <f t="shared" si="8"/>
        <v>7.0467741272896802</v>
      </c>
      <c r="Z29" s="300">
        <f t="shared" ref="Z29:Z34" si="14">AI19-AE5</f>
        <v>7.7196347431830077</v>
      </c>
      <c r="AA29" s="308">
        <f t="shared" si="9"/>
        <v>9.8053443329633783E-2</v>
      </c>
      <c r="AB29" s="308">
        <f t="shared" si="10"/>
        <v>0.10741606785505113</v>
      </c>
      <c r="AD29" s="309">
        <f t="shared" si="11"/>
        <v>2.4911028637945934E-2</v>
      </c>
      <c r="AE29" s="310">
        <f t="shared" si="12"/>
        <v>0.28489914321633103</v>
      </c>
    </row>
    <row r="30" spans="1:35" ht="16.2">
      <c r="A30" s="276" t="s">
        <v>378</v>
      </c>
      <c r="B30" s="277">
        <v>0</v>
      </c>
      <c r="C30" s="278">
        <v>0</v>
      </c>
      <c r="D30" s="278">
        <v>3.5408723742464003E-2</v>
      </c>
      <c r="E30" s="278">
        <v>0</v>
      </c>
      <c r="F30" s="278">
        <v>0</v>
      </c>
      <c r="G30" s="278">
        <v>0</v>
      </c>
      <c r="H30" s="278">
        <v>3.5408723742464003E-2</v>
      </c>
      <c r="I30" s="278">
        <v>0</v>
      </c>
      <c r="J30" s="278">
        <v>0</v>
      </c>
      <c r="K30" s="279">
        <v>0</v>
      </c>
      <c r="L30" s="279">
        <v>7.0000000000000007E-2</v>
      </c>
      <c r="M30" s="279">
        <v>0</v>
      </c>
      <c r="V30" s="257" t="str">
        <f t="shared" si="7"/>
        <v>精煤</v>
      </c>
      <c r="W30" s="307">
        <f t="shared" si="13"/>
        <v>1.0900725881542725</v>
      </c>
      <c r="Y30" s="296">
        <f t="shared" si="8"/>
        <v>7.1508607979106813</v>
      </c>
      <c r="Z30" s="300">
        <f t="shared" si="14"/>
        <v>18.07633393582644</v>
      </c>
      <c r="AA30" s="308">
        <f t="shared" si="9"/>
        <v>8.7588015946579972E-2</v>
      </c>
      <c r="AB30" s="308">
        <f t="shared" si="10"/>
        <v>0.22140973929872421</v>
      </c>
      <c r="AD30" s="309">
        <f t="shared" si="11"/>
        <v>0.4360024476495683</v>
      </c>
      <c r="AE30" s="310">
        <f t="shared" si="12"/>
        <v>0.3823713978147727</v>
      </c>
    </row>
    <row r="31" spans="1:35" ht="16.2">
      <c r="A31" s="276" t="s">
        <v>379</v>
      </c>
      <c r="B31" s="277">
        <v>0.09</v>
      </c>
      <c r="C31" s="278">
        <v>0.03</v>
      </c>
      <c r="D31" s="278">
        <v>2.9341510596920888E-3</v>
      </c>
      <c r="E31" s="278">
        <v>0.10278512525283957</v>
      </c>
      <c r="F31" s="278">
        <v>0.09</v>
      </c>
      <c r="G31" s="278">
        <v>0.03</v>
      </c>
      <c r="H31" s="278">
        <v>2.9341510596920888E-3</v>
      </c>
      <c r="I31" s="278">
        <v>6.2476651193165741E-2</v>
      </c>
      <c r="J31" s="278">
        <v>0</v>
      </c>
      <c r="K31" s="279">
        <v>0</v>
      </c>
      <c r="L31" s="279">
        <v>0</v>
      </c>
      <c r="M31" s="279">
        <v>0</v>
      </c>
      <c r="V31" s="257" t="str">
        <f t="shared" si="7"/>
        <v>精制天然气</v>
      </c>
      <c r="W31" s="307">
        <f t="shared" si="13"/>
        <v>1.1520994966176159</v>
      </c>
      <c r="Y31" s="296">
        <f t="shared" si="8"/>
        <v>10.448384034226471</v>
      </c>
      <c r="Z31" s="300">
        <f t="shared" si="14"/>
        <v>12.858558596360602</v>
      </c>
      <c r="AA31" s="308">
        <f t="shared" si="9"/>
        <v>0.18333393051931837</v>
      </c>
      <c r="AB31" s="308">
        <f t="shared" si="10"/>
        <v>0.22562437220544654</v>
      </c>
      <c r="AD31" s="309">
        <f t="shared" si="11"/>
        <v>9.5390091746589925E-2</v>
      </c>
      <c r="AE31" s="310">
        <f t="shared" si="12"/>
        <v>0.41700828651552002</v>
      </c>
    </row>
    <row r="32" spans="1:35" ht="16.2">
      <c r="A32" s="276" t="s">
        <v>380</v>
      </c>
      <c r="B32" s="277">
        <v>0.01</v>
      </c>
      <c r="C32" s="278">
        <v>0</v>
      </c>
      <c r="D32" s="278">
        <v>4.545074262962084E-3</v>
      </c>
      <c r="E32" s="278">
        <v>5.7569628131320992E-4</v>
      </c>
      <c r="F32" s="278">
        <v>0.01</v>
      </c>
      <c r="G32" s="278">
        <v>0</v>
      </c>
      <c r="H32" s="278">
        <v>4.545074262962084E-3</v>
      </c>
      <c r="I32" s="278">
        <v>3.4992977507525475E-4</v>
      </c>
      <c r="J32" s="278">
        <v>0</v>
      </c>
      <c r="K32" s="279">
        <v>0</v>
      </c>
      <c r="L32" s="279">
        <v>0</v>
      </c>
      <c r="M32" s="279">
        <v>0</v>
      </c>
      <c r="V32" s="257" t="str">
        <f t="shared" si="7"/>
        <v>柴油</v>
      </c>
      <c r="W32" s="307">
        <f t="shared" si="13"/>
        <v>1.2690936840164204</v>
      </c>
      <c r="Y32" s="296">
        <f>Y22-AE8</f>
        <v>19.311610676350696</v>
      </c>
      <c r="Z32" s="300">
        <f t="shared" si="14"/>
        <v>20.515096960899314</v>
      </c>
      <c r="AA32" s="308">
        <f t="shared" si="9"/>
        <v>0.26605389531885276</v>
      </c>
      <c r="AB32" s="308">
        <f t="shared" si="10"/>
        <v>0.28263419094168679</v>
      </c>
      <c r="AD32" s="309">
        <f t="shared" si="11"/>
        <v>4.3800712528763816E-2</v>
      </c>
      <c r="AE32" s="310">
        <f t="shared" si="12"/>
        <v>0.41768902525592122</v>
      </c>
    </row>
    <row r="33" spans="1:31" ht="16.2">
      <c r="A33" s="276" t="s">
        <v>381</v>
      </c>
      <c r="B33" s="277">
        <v>0.01</v>
      </c>
      <c r="C33" s="278">
        <v>0.72</v>
      </c>
      <c r="D33" s="278">
        <v>2.0938586860944974E-2</v>
      </c>
      <c r="E33" s="278">
        <v>0.72817799906643843</v>
      </c>
      <c r="F33" s="278">
        <v>0.01</v>
      </c>
      <c r="G33" s="278">
        <v>0.72</v>
      </c>
      <c r="H33" s="278">
        <v>2.0938586860944974E-2</v>
      </c>
      <c r="I33" s="278">
        <v>0.83477640079554871</v>
      </c>
      <c r="J33" s="278">
        <v>0</v>
      </c>
      <c r="K33" s="279">
        <v>0</v>
      </c>
      <c r="L33" s="279">
        <v>0.01</v>
      </c>
      <c r="M33" s="279">
        <v>0</v>
      </c>
      <c r="V33" s="257" t="str">
        <f t="shared" si="7"/>
        <v>汽油</v>
      </c>
      <c r="W33" s="307">
        <f>O23+R23+U23</f>
        <v>1.2780875490386261</v>
      </c>
      <c r="Y33" s="296">
        <f t="shared" si="8"/>
        <v>19.968655815487352</v>
      </c>
      <c r="Z33" s="300">
        <f t="shared" si="14"/>
        <v>23.08742130338949</v>
      </c>
      <c r="AA33" s="308">
        <f t="shared" si="9"/>
        <v>0.29402856282191231</v>
      </c>
      <c r="AB33" s="308">
        <f t="shared" si="10"/>
        <v>0.3399508393466662</v>
      </c>
      <c r="AD33" s="309">
        <f t="shared" si="11"/>
        <v>4.4721739756535706E-2</v>
      </c>
      <c r="AE33" s="310">
        <f t="shared" si="12"/>
        <v>0.42279861996321383</v>
      </c>
    </row>
    <row r="34" spans="1:31" ht="16.8" thickBot="1">
      <c r="A34" s="285" t="s">
        <v>382</v>
      </c>
      <c r="B34" s="286">
        <v>0.14000000000000001</v>
      </c>
      <c r="C34" s="287">
        <v>0.25</v>
      </c>
      <c r="D34" s="287">
        <v>5.9314755783359423E-2</v>
      </c>
      <c r="E34" s="287">
        <v>0.16846117939940874</v>
      </c>
      <c r="F34" s="287">
        <v>0.14000000000000001</v>
      </c>
      <c r="G34" s="287">
        <v>0.25</v>
      </c>
      <c r="H34" s="287">
        <v>5.9314755783359423E-2</v>
      </c>
      <c r="I34" s="287">
        <v>0.10239701823621034</v>
      </c>
      <c r="J34" s="287">
        <v>0</v>
      </c>
      <c r="K34" s="288">
        <v>0</v>
      </c>
      <c r="L34" s="288">
        <v>0</v>
      </c>
      <c r="M34" s="288">
        <v>0</v>
      </c>
      <c r="V34" s="257" t="str">
        <f t="shared" si="7"/>
        <v>燃料油</v>
      </c>
      <c r="W34" s="307">
        <f>O24+R24+U24</f>
        <v>1.2049396715991012</v>
      </c>
      <c r="Y34" s="296">
        <f t="shared" si="8"/>
        <v>14.628083709697194</v>
      </c>
      <c r="Z34" s="300">
        <f t="shared" si="14"/>
        <v>15.598660451449021</v>
      </c>
      <c r="AA34" s="308">
        <f t="shared" si="9"/>
        <v>0.1929334256394217</v>
      </c>
      <c r="AB34" s="308">
        <f>Z34/AE10</f>
        <v>0.20573460311067127</v>
      </c>
      <c r="AD34" s="309">
        <f t="shared" si="11"/>
        <v>3.6818662876948134E-2</v>
      </c>
      <c r="AE34" s="310">
        <f t="shared" si="12"/>
        <v>0.3696974098112914</v>
      </c>
    </row>
    <row r="35" spans="1:31" ht="16.8" thickTop="1">
      <c r="B35" s="514"/>
      <c r="U35" s="282"/>
      <c r="V35" s="257" t="str">
        <f t="shared" si="7"/>
        <v>电力</v>
      </c>
      <c r="W35" s="307">
        <f t="shared" si="13"/>
        <v>2.662555729682258</v>
      </c>
      <c r="Y35" s="296">
        <f>Y25-AE11</f>
        <v>212.201512797639</v>
      </c>
      <c r="Z35" s="300">
        <f>AI25-AE11</f>
        <v>237.06320573794014</v>
      </c>
      <c r="AA35" s="311"/>
      <c r="AD35" s="309">
        <f t="shared" si="11"/>
        <v>0.99442789444789459</v>
      </c>
      <c r="AE35" s="310">
        <f t="shared" si="12"/>
        <v>3.3408694757104564</v>
      </c>
    </row>
    <row r="36" spans="1:31">
      <c r="U36" s="282"/>
    </row>
    <row r="37" spans="1:31" ht="16.2">
      <c r="Z37" s="300"/>
    </row>
    <row r="43" spans="1:31">
      <c r="A43" s="257" t="s">
        <v>398</v>
      </c>
    </row>
  </sheetData>
  <mergeCells count="9">
    <mergeCell ref="B24:E24"/>
    <mergeCell ref="F24:I24"/>
    <mergeCell ref="J24:M24"/>
    <mergeCell ref="B2:E2"/>
    <mergeCell ref="F2:I2"/>
    <mergeCell ref="J2:M2"/>
    <mergeCell ref="B13:E13"/>
    <mergeCell ref="F13:I13"/>
    <mergeCell ref="J13:M13"/>
  </mergeCells>
  <phoneticPr fontId="33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selection activeCell="I12" sqref="I12"/>
    </sheetView>
  </sheetViews>
  <sheetFormatPr defaultRowHeight="14.4"/>
  <cols>
    <col min="2" max="2" width="12.33203125" bestFit="1" customWidth="1"/>
    <col min="3" max="3" width="11.21875" bestFit="1" customWidth="1"/>
    <col min="5" max="7" width="12.33203125" bestFit="1" customWidth="1"/>
    <col min="12" max="12" width="12.77734375" bestFit="1" customWidth="1"/>
    <col min="13" max="14" width="12.33203125" bestFit="1" customWidth="1"/>
    <col min="15" max="15" width="10.44140625" bestFit="1" customWidth="1"/>
    <col min="16" max="16" width="9" bestFit="1" customWidth="1"/>
    <col min="17" max="17" width="12.33203125" bestFit="1" customWidth="1"/>
  </cols>
  <sheetData>
    <row r="1" spans="1:21" ht="15" thickBot="1">
      <c r="A1" s="735" t="s">
        <v>0</v>
      </c>
      <c r="B1" s="737"/>
      <c r="C1" s="738"/>
      <c r="D1" s="739"/>
      <c r="E1" s="740"/>
      <c r="F1" s="742"/>
      <c r="G1" s="745"/>
      <c r="H1" s="740" t="s">
        <v>410</v>
      </c>
      <c r="I1" s="742"/>
      <c r="J1" s="742"/>
      <c r="K1" s="745"/>
      <c r="L1" s="338" t="s">
        <v>411</v>
      </c>
      <c r="M1" s="339" t="s">
        <v>412</v>
      </c>
      <c r="N1" s="340" t="s">
        <v>412</v>
      </c>
      <c r="O1" s="344"/>
      <c r="P1" s="345"/>
    </row>
    <row r="2" spans="1:21" ht="15" thickBot="1">
      <c r="A2" s="736"/>
      <c r="B2" s="325" t="s">
        <v>1</v>
      </c>
      <c r="C2" s="2" t="s">
        <v>2</v>
      </c>
      <c r="D2" s="326" t="s">
        <v>3</v>
      </c>
      <c r="E2" s="741"/>
      <c r="F2" s="743"/>
      <c r="G2" s="746"/>
      <c r="H2" s="741"/>
      <c r="I2" s="743"/>
      <c r="J2" s="743"/>
      <c r="K2" s="746"/>
      <c r="L2" s="93" t="s">
        <v>37</v>
      </c>
      <c r="M2" s="22" t="s">
        <v>40</v>
      </c>
      <c r="N2" s="328" t="s">
        <v>41</v>
      </c>
      <c r="O2" s="346"/>
      <c r="P2" s="347"/>
    </row>
    <row r="3" spans="1:21" ht="27.6">
      <c r="A3" s="736"/>
      <c r="B3" s="327" t="s">
        <v>4</v>
      </c>
      <c r="C3" s="22" t="s">
        <v>4</v>
      </c>
      <c r="D3" s="328" t="s">
        <v>4</v>
      </c>
      <c r="E3" s="327" t="s">
        <v>9</v>
      </c>
      <c r="F3" s="22" t="s">
        <v>9</v>
      </c>
      <c r="G3" s="328" t="s">
        <v>10</v>
      </c>
      <c r="H3" s="93" t="str">
        <f>I3</f>
        <v>g/MJ</v>
      </c>
      <c r="I3" s="22" t="s">
        <v>9</v>
      </c>
      <c r="J3" s="22" t="s">
        <v>10</v>
      </c>
      <c r="K3" s="328"/>
      <c r="L3" s="327" t="s">
        <v>9</v>
      </c>
      <c r="M3" s="22" t="s">
        <v>9</v>
      </c>
      <c r="N3" s="328" t="s">
        <v>413</v>
      </c>
      <c r="O3" s="348" t="s">
        <v>409</v>
      </c>
      <c r="P3" s="342" t="s">
        <v>74</v>
      </c>
      <c r="Q3" s="22" t="s">
        <v>429</v>
      </c>
      <c r="R3" t="s">
        <v>77</v>
      </c>
      <c r="S3" t="s">
        <v>75</v>
      </c>
      <c r="T3" s="22" t="s">
        <v>76</v>
      </c>
      <c r="U3" t="s">
        <v>78</v>
      </c>
    </row>
    <row r="4" spans="1:21">
      <c r="A4" s="321" t="s">
        <v>371</v>
      </c>
      <c r="B4" s="329">
        <f>'LC for SE'!O17</f>
        <v>1.0702445504439084</v>
      </c>
      <c r="C4" s="322">
        <f>'LC for SE'!R17</f>
        <v>2.0890782889715913E-3</v>
      </c>
      <c r="D4" s="330">
        <f>'LC for SE'!U17</f>
        <v>2.7428274248173018E-3</v>
      </c>
      <c r="E4" s="329">
        <f>'LC for SE'!Y27</f>
        <v>6.0533287026977121</v>
      </c>
      <c r="F4" s="322">
        <f>'LC for SE'!AD27</f>
        <v>0.43477861743910329</v>
      </c>
      <c r="G4" s="330">
        <f>'LC for SE'!AE27</f>
        <v>0.13112150681692816</v>
      </c>
      <c r="H4" s="335">
        <f>'LC for SE'!AE3</f>
        <v>81.641999999999996</v>
      </c>
      <c r="I4" s="322">
        <f>'LC for SE'!AB3</f>
        <v>1E-3</v>
      </c>
      <c r="J4" s="322">
        <f>'LC for SE'!AC3</f>
        <v>1E-3</v>
      </c>
      <c r="K4" s="330"/>
      <c r="L4" s="459">
        <f>'LC for SE'!Y17</f>
        <v>87.695328702697708</v>
      </c>
      <c r="M4" s="322">
        <f>'LC for SE'!AB17</f>
        <v>0.43577861743910329</v>
      </c>
      <c r="N4" s="341">
        <f>'LC for SE'!AE17</f>
        <v>1.1311215068169282E-3</v>
      </c>
      <c r="O4" s="494">
        <f>'LC for SE'!AI17</f>
        <v>98.590131212884316</v>
      </c>
      <c r="P4" s="345">
        <f>B4+C4+D4</f>
        <v>1.0750764561576973</v>
      </c>
      <c r="Q4" s="359">
        <f>1/P4*100</f>
        <v>93.016640283797202</v>
      </c>
      <c r="R4" s="22" t="str">
        <f>A4</f>
        <v>原煤</v>
      </c>
      <c r="S4" s="23">
        <f>B4/P4</f>
        <v>0.99550552364335276</v>
      </c>
      <c r="T4" s="23">
        <f>C4/P4</f>
        <v>1.9431904372996104E-3</v>
      </c>
      <c r="U4" s="23">
        <f>D4/P4</f>
        <v>2.5512859193476474E-3</v>
      </c>
    </row>
    <row r="5" spans="1:21" ht="27.6">
      <c r="A5" s="320" t="s">
        <v>372</v>
      </c>
      <c r="B5" s="331">
        <f>'LC for SE'!O18</f>
        <v>4.5180817483054178E-2</v>
      </c>
      <c r="C5" s="317">
        <f>'LC for SE'!R18</f>
        <v>1.0538104109762965</v>
      </c>
      <c r="D5" s="332">
        <f>'LC for SE'!U18</f>
        <v>4.8420701656464671E-2</v>
      </c>
      <c r="E5" s="331">
        <f>'LC for SE'!Y28</f>
        <v>10.171729394379625</v>
      </c>
      <c r="F5" s="317">
        <f>'LC for SE'!AD28</f>
        <v>9.4966917169185899E-2</v>
      </c>
      <c r="G5" s="332">
        <f>'LC for SE'!AE28</f>
        <v>0.41124022668255489</v>
      </c>
      <c r="H5" s="336">
        <f>'LC for SE'!AE4</f>
        <v>55.539000000000001</v>
      </c>
      <c r="I5" s="317">
        <f>'LC for SE'!AB4</f>
        <v>1E-3</v>
      </c>
      <c r="J5" s="317">
        <f>'LC for SE'!AC4</f>
        <v>1E-3</v>
      </c>
      <c r="K5" s="332"/>
      <c r="L5" s="460">
        <f>'LC for SE'!Y18</f>
        <v>65.710729394379626</v>
      </c>
      <c r="M5" s="317">
        <f>'LC for SE'!AB18</f>
        <v>9.59669171691859E-2</v>
      </c>
      <c r="N5" s="342">
        <f>'LC for SE'!AE18</f>
        <v>1.4112402266825549E-3</v>
      </c>
      <c r="O5" s="495">
        <f>'LC for SE'!AI18</f>
        <v>68.110322873196822</v>
      </c>
      <c r="P5" s="347">
        <f t="shared" ref="P5:P12" si="0">B5+C5+D5</f>
        <v>1.1474119301158152</v>
      </c>
      <c r="Q5" s="359">
        <f t="shared" ref="Q5:Q12" si="1">1/P5*100</f>
        <v>87.152658409178642</v>
      </c>
      <c r="R5" s="22" t="str">
        <f t="shared" ref="R5:R12" si="2">A5</f>
        <v>原始天然气</v>
      </c>
      <c r="S5" s="23">
        <f>B5/P5</f>
        <v>3.9376283527480668E-2</v>
      </c>
      <c r="T5" s="23">
        <f>C5/P5</f>
        <v>0.91842378775853328</v>
      </c>
      <c r="U5" s="23">
        <f>D5/P5</f>
        <v>4.219992871398616E-2</v>
      </c>
    </row>
    <row r="6" spans="1:21">
      <c r="A6" s="320" t="s">
        <v>373</v>
      </c>
      <c r="B6" s="331">
        <f>'LC for SE'!O19</f>
        <v>3.1300382004389268E-2</v>
      </c>
      <c r="C6" s="317">
        <f>'LC for SE'!R19</f>
        <v>3.7278794700936674E-2</v>
      </c>
      <c r="D6" s="332">
        <f>'LC for SE'!U19</f>
        <v>1.0335449100569365</v>
      </c>
      <c r="E6" s="331">
        <f>'LC for SE'!Y29</f>
        <v>7.0467741272896802</v>
      </c>
      <c r="F6" s="317">
        <f>'LC for SE'!AD29</f>
        <v>2.4911028637945934E-2</v>
      </c>
      <c r="G6" s="332">
        <f>'LC for SE'!AE29</f>
        <v>0.28489914321633103</v>
      </c>
      <c r="H6" s="336">
        <f>'LC for SE'!AE5</f>
        <v>71.86666666666666</v>
      </c>
      <c r="I6" s="317">
        <f>'LC for SE'!AB5</f>
        <v>2E-3</v>
      </c>
      <c r="J6" s="317">
        <f>'LC for SE'!AC5</f>
        <v>0</v>
      </c>
      <c r="K6" s="332"/>
      <c r="L6" s="460">
        <f>'LC for SE'!Y19</f>
        <v>78.91344079395634</v>
      </c>
      <c r="M6" s="317">
        <f>'LC for SE'!AB19</f>
        <v>2.6911028637945936E-2</v>
      </c>
      <c r="N6" s="342">
        <f>'LC for SE'!AE19</f>
        <v>2.8489914321633102E-4</v>
      </c>
      <c r="O6" s="495">
        <f>'LC for SE'!AI19</f>
        <v>79.586301409849668</v>
      </c>
      <c r="P6" s="347">
        <f t="shared" si="0"/>
        <v>1.1021240867622624</v>
      </c>
      <c r="Q6" s="359">
        <f t="shared" si="1"/>
        <v>90.733884869327653</v>
      </c>
      <c r="R6" s="22" t="str">
        <f t="shared" si="2"/>
        <v>原油</v>
      </c>
      <c r="S6" s="23">
        <f t="shared" ref="S6:S11" si="3">B6/P6</f>
        <v>2.8400052571522311E-2</v>
      </c>
      <c r="T6" s="23">
        <f t="shared" ref="T6:T12" si="4">C6/P6</f>
        <v>3.3824498664620901E-2</v>
      </c>
      <c r="U6" s="23">
        <f t="shared" ref="U6:U12" si="5">D6/P6</f>
        <v>0.93777544876385688</v>
      </c>
    </row>
    <row r="7" spans="1:21">
      <c r="A7" s="320" t="s">
        <v>377</v>
      </c>
      <c r="B7" s="331">
        <f>'LC for SE'!O20</f>
        <v>1.0725952042692279</v>
      </c>
      <c r="C7" s="317">
        <f>'LC for SE'!R20</f>
        <v>2.7284813392808517E-3</v>
      </c>
      <c r="D7" s="332">
        <f>'LC for SE'!U20</f>
        <v>1.4748902545763573E-2</v>
      </c>
      <c r="E7" s="331">
        <f>'LC for SE'!Y30</f>
        <v>7.1508607979106813</v>
      </c>
      <c r="F7" s="317">
        <f>'LC for SE'!AD30</f>
        <v>0.4360024476495683</v>
      </c>
      <c r="G7" s="332">
        <f>'LC for SE'!AE30</f>
        <v>0.3823713978147727</v>
      </c>
      <c r="H7" s="336">
        <f>'LC for SE'!AE6</f>
        <v>81.641999999999996</v>
      </c>
      <c r="I7" s="317">
        <f>'LC for SE'!AB6</f>
        <v>1E-3</v>
      </c>
      <c r="J7" s="317">
        <f>'LC for SE'!AC6</f>
        <v>1E-3</v>
      </c>
      <c r="K7" s="332"/>
      <c r="L7" s="460">
        <f>'LC for SE'!Y20</f>
        <v>88.792860797910677</v>
      </c>
      <c r="M7" s="317">
        <f>'LC for SE'!AB20</f>
        <v>0.4370024476495683</v>
      </c>
      <c r="N7" s="342">
        <f>'LC for SE'!AE20</f>
        <v>1.3823713978147727E-3</v>
      </c>
      <c r="O7" s="495">
        <f>'LC for SE'!AI20</f>
        <v>99.718333935826436</v>
      </c>
      <c r="P7" s="347">
        <f t="shared" si="0"/>
        <v>1.0900725881542725</v>
      </c>
      <c r="Q7" s="359">
        <f t="shared" si="1"/>
        <v>91.737010073174602</v>
      </c>
      <c r="R7" s="22" t="str">
        <f t="shared" si="2"/>
        <v>精煤</v>
      </c>
      <c r="S7" s="23">
        <f t="shared" si="3"/>
        <v>0.98396677058484927</v>
      </c>
      <c r="T7" s="23">
        <f t="shared" si="4"/>
        <v>2.5030272010607641E-3</v>
      </c>
      <c r="U7" s="23">
        <f t="shared" si="5"/>
        <v>1.3530202214089833E-2</v>
      </c>
    </row>
    <row r="8" spans="1:21" ht="27.6">
      <c r="A8" s="320" t="s">
        <v>378</v>
      </c>
      <c r="B8" s="331">
        <f>'LC for SE'!O21</f>
        <v>4.5458234680092517E-2</v>
      </c>
      <c r="C8" s="317">
        <f>'LC for SE'!R21</f>
        <v>1.0580245317407337</v>
      </c>
      <c r="D8" s="332">
        <f>'LC for SE'!U21</f>
        <v>4.8616730196789741E-2</v>
      </c>
      <c r="E8" s="331">
        <f>'LC for SE'!Y31</f>
        <v>10.448384034226471</v>
      </c>
      <c r="F8" s="317">
        <f>'LC for SE'!AD31</f>
        <v>9.5390091746589925E-2</v>
      </c>
      <c r="G8" s="332">
        <f>'LC for SE'!AE31</f>
        <v>0.41700828651552002</v>
      </c>
      <c r="H8" s="336">
        <f>'LC for SE'!AE7</f>
        <v>56.990999999999993</v>
      </c>
      <c r="I8" s="317">
        <f>'LC for SE'!AB7</f>
        <v>1E-3</v>
      </c>
      <c r="J8" s="317">
        <f>'LC for SE'!AC7</f>
        <v>1E-3</v>
      </c>
      <c r="K8" s="332"/>
      <c r="L8" s="460">
        <f>'LC for SE'!Y21</f>
        <v>67.439384034226464</v>
      </c>
      <c r="M8" s="317">
        <f>'LC for SE'!AB21</f>
        <v>9.6390091746589926E-2</v>
      </c>
      <c r="N8" s="342">
        <f>'LC for SE'!AE21</f>
        <v>1.4170082865155201E-3</v>
      </c>
      <c r="O8" s="495">
        <f>'LC for SE'!AI21</f>
        <v>69.849558596360595</v>
      </c>
      <c r="P8" s="347">
        <f t="shared" si="0"/>
        <v>1.1520994966176159</v>
      </c>
      <c r="Q8" s="359">
        <f t="shared" si="1"/>
        <v>86.798058929445219</v>
      </c>
      <c r="R8" s="22" t="str">
        <f t="shared" si="2"/>
        <v>精制天然气</v>
      </c>
      <c r="S8" s="23">
        <f t="shared" si="3"/>
        <v>3.9456865325912208E-2</v>
      </c>
      <c r="T8" s="23">
        <f t="shared" si="4"/>
        <v>0.91834475654830894</v>
      </c>
      <c r="U8" s="23">
        <f t="shared" si="5"/>
        <v>4.2198378125778951E-2</v>
      </c>
    </row>
    <row r="9" spans="1:21">
      <c r="A9" s="320" t="s">
        <v>379</v>
      </c>
      <c r="B9" s="331">
        <f>'LC for SE'!O22</f>
        <v>7.2286083298277556E-2</v>
      </c>
      <c r="C9" s="317">
        <f>'LC for SE'!R22</f>
        <v>4.9578985063534531E-2</v>
      </c>
      <c r="D9" s="332">
        <f>'LC for SE'!U22</f>
        <v>1.1472286156546083</v>
      </c>
      <c r="E9" s="331">
        <f>'LC for SE'!Y32</f>
        <v>19.311610676350696</v>
      </c>
      <c r="F9" s="317">
        <f>'LC for SE'!AD32</f>
        <v>4.3800712528763816E-2</v>
      </c>
      <c r="G9" s="332">
        <f>'LC for SE'!AE32</f>
        <v>0.41768902525592122</v>
      </c>
      <c r="H9" s="336">
        <f>'LC for SE'!AE8</f>
        <v>72.585333333333324</v>
      </c>
      <c r="I9" s="317">
        <f>'LC for SE'!AB8</f>
        <v>4.0000000000000001E-3</v>
      </c>
      <c r="J9" s="317">
        <f>'LC for SE'!AC8</f>
        <v>2.8000000000000001E-2</v>
      </c>
      <c r="K9" s="332"/>
      <c r="L9" s="460">
        <f>'LC for SE'!Y22</f>
        <v>91.89694400968402</v>
      </c>
      <c r="M9" s="317">
        <f>'LC for SE'!AB22</f>
        <v>4.780071252876382E-2</v>
      </c>
      <c r="N9" s="342">
        <f>'LC for SE'!AE22</f>
        <v>2.8417689025255922E-2</v>
      </c>
      <c r="O9" s="495">
        <f>'LC for SE'!AI22</f>
        <v>93.100430294232638</v>
      </c>
      <c r="P9" s="347">
        <f t="shared" si="0"/>
        <v>1.2690936840164204</v>
      </c>
      <c r="Q9" s="359">
        <f t="shared" si="1"/>
        <v>78.796389312663322</v>
      </c>
      <c r="R9" s="22" t="str">
        <f t="shared" si="2"/>
        <v>柴油</v>
      </c>
      <c r="S9" s="23">
        <f t="shared" si="3"/>
        <v>5.6958823614586887E-2</v>
      </c>
      <c r="T9" s="23">
        <f t="shared" si="4"/>
        <v>3.9066450087929867E-2</v>
      </c>
      <c r="U9" s="23">
        <f t="shared" si="5"/>
        <v>0.90397472629748321</v>
      </c>
    </row>
    <row r="10" spans="1:21">
      <c r="A10" s="320" t="s">
        <v>380</v>
      </c>
      <c r="B10" s="331">
        <f>'LC for SE'!O23</f>
        <v>7.4260045413688622E-2</v>
      </c>
      <c r="C10" s="317">
        <f>'LC for SE'!R23</f>
        <v>5.0176246572035947E-2</v>
      </c>
      <c r="D10" s="332">
        <f>'LC for SE'!U23</f>
        <v>1.1536512570529016</v>
      </c>
      <c r="E10" s="331">
        <f>'LC for SE'!Y33</f>
        <v>19.968655815487352</v>
      </c>
      <c r="F10" s="317">
        <f>'LC for SE'!AD33</f>
        <v>4.4721739756535706E-2</v>
      </c>
      <c r="G10" s="332">
        <f>'LC for SE'!AE33</f>
        <v>0.42279861996321383</v>
      </c>
      <c r="H10" s="336">
        <f>'LC for SE'!AE9</f>
        <v>67.914000000000001</v>
      </c>
      <c r="I10" s="317">
        <f>'LC for SE'!AB9</f>
        <v>0.08</v>
      </c>
      <c r="J10" s="317">
        <f>'LC for SE'!AC9</f>
        <v>2E-3</v>
      </c>
      <c r="K10" s="332"/>
      <c r="L10" s="460">
        <f>'LC for SE'!Y23</f>
        <v>87.882655815487354</v>
      </c>
      <c r="M10" s="317">
        <f>'LC for SE'!AB23</f>
        <v>0.12472173975653571</v>
      </c>
      <c r="N10" s="342">
        <f>'LC for SE'!AE23</f>
        <v>2.4227986199632139E-3</v>
      </c>
      <c r="O10" s="495">
        <f>'LC for SE'!AI23</f>
        <v>91.001421303389492</v>
      </c>
      <c r="P10" s="347">
        <f t="shared" si="0"/>
        <v>1.2780875490386261</v>
      </c>
      <c r="Q10" s="359">
        <f t="shared" si="1"/>
        <v>78.241901405908948</v>
      </c>
      <c r="R10" s="22" t="str">
        <f t="shared" si="2"/>
        <v>汽油</v>
      </c>
      <c r="S10" s="23">
        <f t="shared" si="3"/>
        <v>5.8102471516561463E-2</v>
      </c>
      <c r="T10" s="23">
        <f t="shared" si="4"/>
        <v>3.9258849372078131E-2</v>
      </c>
      <c r="U10" s="23">
        <f t="shared" si="5"/>
        <v>0.90263867911136053</v>
      </c>
    </row>
    <row r="11" spans="1:21">
      <c r="A11" s="320" t="s">
        <v>381</v>
      </c>
      <c r="B11" s="331">
        <f>'LC for SE'!O24</f>
        <v>5.7272768689944228E-2</v>
      </c>
      <c r="C11" s="317">
        <f>'LC for SE'!R24</f>
        <v>4.4646692164637548E-2</v>
      </c>
      <c r="D11" s="332">
        <f>'LC for SE'!U24</f>
        <v>1.1030202107445195</v>
      </c>
      <c r="E11" s="331">
        <f>'LC for SE'!Y34</f>
        <v>14.628083709697194</v>
      </c>
      <c r="F11" s="317">
        <f>'LC for SE'!AD34</f>
        <v>3.6818662876948134E-2</v>
      </c>
      <c r="G11" s="332">
        <f>'LC for SE'!AE34</f>
        <v>0.3696974098112914</v>
      </c>
      <c r="H11" s="336">
        <f>'LC for SE'!AE10</f>
        <v>75.819333333333333</v>
      </c>
      <c r="I11" s="317">
        <f>'LC for SE'!AB10</f>
        <v>2E-3</v>
      </c>
      <c r="J11" s="317">
        <f>'LC for SE'!AC10</f>
        <v>0</v>
      </c>
      <c r="K11" s="332"/>
      <c r="L11" s="460">
        <f>'LC for SE'!Y24</f>
        <v>90.447417043030526</v>
      </c>
      <c r="M11" s="317">
        <f>'LC for SE'!AB24</f>
        <v>3.8818662876948136E-2</v>
      </c>
      <c r="N11" s="342">
        <f>'LC for SE'!AE24</f>
        <v>3.696974098112914E-4</v>
      </c>
      <c r="O11" s="495">
        <f>'LC for SE'!AI24</f>
        <v>91.417993784782354</v>
      </c>
      <c r="P11" s="347">
        <f t="shared" si="0"/>
        <v>1.2049396715991012</v>
      </c>
      <c r="Q11" s="359">
        <f t="shared" si="1"/>
        <v>82.991706852250829</v>
      </c>
      <c r="R11" s="22" t="str">
        <f t="shared" si="2"/>
        <v>燃料油</v>
      </c>
      <c r="S11" s="23">
        <f t="shared" si="3"/>
        <v>4.7531648297326215E-2</v>
      </c>
      <c r="T11" s="23">
        <f t="shared" si="4"/>
        <v>3.7053051880502841E-2</v>
      </c>
      <c r="U11" s="23">
        <f t="shared" si="5"/>
        <v>0.91541529982217096</v>
      </c>
    </row>
    <row r="12" spans="1:21">
      <c r="A12" s="323" t="s">
        <v>382</v>
      </c>
      <c r="B12" s="333">
        <f>'LC for SE'!O25</f>
        <v>2.4073229729246317</v>
      </c>
      <c r="C12" s="324">
        <f>'LC for SE'!R25</f>
        <v>0.18717839215522458</v>
      </c>
      <c r="D12" s="334">
        <f>'LC for SE'!U25</f>
        <v>6.8054364602401593E-2</v>
      </c>
      <c r="E12" s="333">
        <f>'LC for SE'!Y35</f>
        <v>212.201512797639</v>
      </c>
      <c r="F12" s="324">
        <f>'LC for SE'!AD35</f>
        <v>0.99442789444789459</v>
      </c>
      <c r="G12" s="334">
        <f>'LC for SE'!AE35</f>
        <v>3.3408694757104564</v>
      </c>
      <c r="H12" s="337">
        <f>'LC for SE'!AE11</f>
        <v>0</v>
      </c>
      <c r="I12" s="324">
        <f>'LC for SE'!AB11</f>
        <v>0</v>
      </c>
      <c r="J12" s="324">
        <f>'LC for SE'!AC11</f>
        <v>0</v>
      </c>
      <c r="K12" s="334"/>
      <c r="L12" s="461">
        <f>'LC for SE'!Y25</f>
        <v>212.201512797639</v>
      </c>
      <c r="M12" s="324">
        <f>'LC for SE'!AB25</f>
        <v>0.99442789444789459</v>
      </c>
      <c r="N12" s="343">
        <f>'LC for SE'!AE25</f>
        <v>3.3408694757104565E-3</v>
      </c>
      <c r="O12" s="496">
        <f>'LC for SE'!AI25</f>
        <v>237.06320573794014</v>
      </c>
      <c r="P12" s="349">
        <f t="shared" si="0"/>
        <v>2.662555729682258</v>
      </c>
      <c r="Q12" s="359">
        <f t="shared" si="1"/>
        <v>37.557899308997271</v>
      </c>
      <c r="R12" s="22" t="str">
        <f t="shared" si="2"/>
        <v>电力</v>
      </c>
      <c r="S12" s="23">
        <f>B12/P12</f>
        <v>0.90413993821339278</v>
      </c>
      <c r="T12" s="23">
        <f t="shared" si="4"/>
        <v>7.0300272053859289E-2</v>
      </c>
      <c r="U12" s="23">
        <f t="shared" si="5"/>
        <v>2.5559789732747872E-2</v>
      </c>
    </row>
    <row r="13" spans="1:21" ht="15" thickBot="1"/>
    <row r="14" spans="1:21" ht="15" thickBot="1">
      <c r="A14" s="735" t="s">
        <v>0</v>
      </c>
      <c r="B14" s="736"/>
      <c r="C14" s="744"/>
      <c r="D14" s="321" t="s">
        <v>371</v>
      </c>
      <c r="E14" s="320" t="s">
        <v>372</v>
      </c>
      <c r="F14" s="320" t="s">
        <v>373</v>
      </c>
      <c r="G14" s="320" t="s">
        <v>377</v>
      </c>
      <c r="H14" s="320" t="s">
        <v>378</v>
      </c>
      <c r="I14" s="320" t="s">
        <v>379</v>
      </c>
      <c r="J14" s="320" t="s">
        <v>380</v>
      </c>
      <c r="K14" s="320" t="s">
        <v>381</v>
      </c>
      <c r="L14" s="323" t="s">
        <v>382</v>
      </c>
    </row>
    <row r="15" spans="1:21" ht="15" thickBot="1">
      <c r="A15" s="734"/>
      <c r="B15" s="1" t="s">
        <v>1</v>
      </c>
      <c r="C15" s="3" t="s">
        <v>4</v>
      </c>
      <c r="D15" s="314">
        <f>B4</f>
        <v>1.0702445504439084</v>
      </c>
      <c r="E15" s="314">
        <f>B5</f>
        <v>4.5180817483054178E-2</v>
      </c>
      <c r="F15" s="314">
        <f>B6</f>
        <v>3.1300382004389268E-2</v>
      </c>
      <c r="G15" s="318">
        <f>B7</f>
        <v>1.0725952042692279</v>
      </c>
      <c r="H15" s="314">
        <f>B8</f>
        <v>4.5458234680092517E-2</v>
      </c>
      <c r="I15" s="318">
        <f>B9</f>
        <v>7.2286083298277556E-2</v>
      </c>
      <c r="J15" s="318">
        <f>B10</f>
        <v>7.4260045413688622E-2</v>
      </c>
      <c r="K15" s="318">
        <f>B11</f>
        <v>5.7272768689944228E-2</v>
      </c>
      <c r="L15" s="319">
        <f>B12</f>
        <v>2.4073229729246317</v>
      </c>
    </row>
    <row r="16" spans="1:21" ht="15" thickBot="1">
      <c r="A16" s="734"/>
      <c r="B16" s="2" t="s">
        <v>2</v>
      </c>
      <c r="C16" s="3" t="s">
        <v>4</v>
      </c>
      <c r="D16" s="314">
        <f>C4</f>
        <v>2.0890782889715913E-3</v>
      </c>
      <c r="E16" s="314">
        <f>C5</f>
        <v>1.0538104109762965</v>
      </c>
      <c r="F16" s="314">
        <f>C6</f>
        <v>3.7278794700936674E-2</v>
      </c>
      <c r="G16" s="318">
        <f>C7</f>
        <v>2.7284813392808517E-3</v>
      </c>
      <c r="H16" s="314">
        <f>C8</f>
        <v>1.0580245317407337</v>
      </c>
      <c r="I16" s="318">
        <f>C9</f>
        <v>4.9578985063534531E-2</v>
      </c>
      <c r="J16" s="318">
        <f>C10</f>
        <v>5.0176246572035947E-2</v>
      </c>
      <c r="K16" s="318">
        <f>C11</f>
        <v>4.4646692164637548E-2</v>
      </c>
      <c r="L16" s="319">
        <f>C12</f>
        <v>0.18717839215522458</v>
      </c>
      <c r="N16" s="276"/>
    </row>
    <row r="17" spans="1:14" ht="15" thickBot="1">
      <c r="A17" s="734"/>
      <c r="B17" s="2" t="s">
        <v>3</v>
      </c>
      <c r="C17" s="3" t="s">
        <v>4</v>
      </c>
      <c r="D17" s="314">
        <f>D4</f>
        <v>2.7428274248173018E-3</v>
      </c>
      <c r="E17" s="314">
        <f>D5</f>
        <v>4.8420701656464671E-2</v>
      </c>
      <c r="F17" s="314">
        <f>D6</f>
        <v>1.0335449100569365</v>
      </c>
      <c r="G17" s="318">
        <f>D7</f>
        <v>1.4748902545763573E-2</v>
      </c>
      <c r="H17" s="314">
        <f>D8</f>
        <v>4.8616730196789741E-2</v>
      </c>
      <c r="I17" s="318">
        <f>D9</f>
        <v>1.1472286156546083</v>
      </c>
      <c r="J17" s="318">
        <f>D10</f>
        <v>1.1536512570529016</v>
      </c>
      <c r="K17" s="318">
        <f>D10</f>
        <v>1.1536512570529016</v>
      </c>
      <c r="L17" s="319">
        <f>D12</f>
        <v>6.8054364602401593E-2</v>
      </c>
      <c r="M17" s="22"/>
      <c r="N17" s="22"/>
    </row>
    <row r="18" spans="1:14">
      <c r="B18" t="s">
        <v>37</v>
      </c>
      <c r="C18" t="str">
        <f>L3</f>
        <v>g/MJ</v>
      </c>
      <c r="D18" s="314">
        <f>L4</f>
        <v>87.695328702697708</v>
      </c>
      <c r="E18" s="314">
        <f>L5</f>
        <v>65.710729394379626</v>
      </c>
      <c r="F18" s="314">
        <f>L6</f>
        <v>78.91344079395634</v>
      </c>
      <c r="G18" s="21">
        <f>L7</f>
        <v>88.792860797910677</v>
      </c>
      <c r="H18" s="314">
        <f>L8</f>
        <v>67.439384034226464</v>
      </c>
      <c r="I18" s="21">
        <f>L9</f>
        <v>91.89694400968402</v>
      </c>
      <c r="J18" s="21">
        <f>L10</f>
        <v>87.882655815487354</v>
      </c>
      <c r="K18" s="21">
        <f>L11</f>
        <v>90.447417043030526</v>
      </c>
      <c r="L18" s="21">
        <f>L12</f>
        <v>212.201512797639</v>
      </c>
      <c r="M18" s="29"/>
      <c r="N18" s="29"/>
    </row>
    <row r="19" spans="1:14">
      <c r="B19" s="22" t="s">
        <v>40</v>
      </c>
      <c r="C19" t="str">
        <f>M3</f>
        <v>g/MJ</v>
      </c>
      <c r="D19" s="314">
        <f>M4</f>
        <v>0.43577861743910329</v>
      </c>
      <c r="E19" s="314">
        <f>M5</f>
        <v>9.59669171691859E-2</v>
      </c>
      <c r="F19" s="314">
        <f>M6</f>
        <v>2.6911028637945936E-2</v>
      </c>
      <c r="G19" s="314">
        <f>M7</f>
        <v>0.4370024476495683</v>
      </c>
      <c r="H19" s="314">
        <f>M8</f>
        <v>9.6390091746589926E-2</v>
      </c>
      <c r="I19" s="314">
        <f>M9</f>
        <v>4.780071252876382E-2</v>
      </c>
      <c r="J19" s="314">
        <f>M10</f>
        <v>0.12472173975653571</v>
      </c>
      <c r="K19" s="314">
        <f>M11</f>
        <v>3.8818662876948136E-2</v>
      </c>
      <c r="L19" s="314">
        <f>M12</f>
        <v>0.99442789444789459</v>
      </c>
    </row>
    <row r="20" spans="1:14">
      <c r="B20" s="22" t="s">
        <v>41</v>
      </c>
      <c r="C20" t="str">
        <f>N3</f>
        <v>Mg/MJ</v>
      </c>
      <c r="D20" s="314">
        <f>N4</f>
        <v>1.1311215068169282E-3</v>
      </c>
      <c r="E20" s="314">
        <f>N5</f>
        <v>1.4112402266825549E-3</v>
      </c>
      <c r="F20" s="314">
        <f>N6</f>
        <v>2.8489914321633102E-4</v>
      </c>
      <c r="G20" s="314">
        <f>N7</f>
        <v>1.3823713978147727E-3</v>
      </c>
      <c r="H20" s="314">
        <f>N8</f>
        <v>1.4170082865155201E-3</v>
      </c>
      <c r="I20" s="314">
        <f>N9</f>
        <v>2.8417689025255922E-2</v>
      </c>
      <c r="J20" s="314">
        <f>N10</f>
        <v>2.4227986199632139E-3</v>
      </c>
      <c r="K20" s="314">
        <f>N11</f>
        <v>3.696974098112914E-4</v>
      </c>
      <c r="L20" s="314">
        <f>N12</f>
        <v>3.3408694757104565E-3</v>
      </c>
    </row>
    <row r="21" spans="1:14">
      <c r="B21" s="22"/>
      <c r="D21" s="314">
        <f>O4</f>
        <v>98.590131212884316</v>
      </c>
      <c r="E21" s="314">
        <f>O5</f>
        <v>68.110322873196822</v>
      </c>
      <c r="F21" s="314">
        <f>O6</f>
        <v>79.586301409849668</v>
      </c>
      <c r="G21" s="314">
        <f>O7</f>
        <v>99.718333935826436</v>
      </c>
      <c r="H21" s="314">
        <f>O8</f>
        <v>69.849558596360595</v>
      </c>
      <c r="I21" s="314">
        <f>O9</f>
        <v>93.100430294232638</v>
      </c>
      <c r="J21" s="314">
        <f>O10</f>
        <v>91.001421303389492</v>
      </c>
      <c r="K21" s="314">
        <f>O11</f>
        <v>91.417993784782354</v>
      </c>
      <c r="L21" s="314">
        <f>O12</f>
        <v>237.06320573794014</v>
      </c>
    </row>
    <row r="22" spans="1:14">
      <c r="F22" s="350"/>
      <c r="G22" s="351"/>
      <c r="H22" s="352" t="s">
        <v>418</v>
      </c>
    </row>
    <row r="23" spans="1:14">
      <c r="F23" s="353" t="s">
        <v>416</v>
      </c>
      <c r="G23" s="168">
        <f>H7*(1-H23)+E7</f>
        <v>15.315060797910679</v>
      </c>
      <c r="H23" s="354">
        <v>0.9</v>
      </c>
    </row>
    <row r="24" spans="1:14">
      <c r="F24" s="355" t="s">
        <v>417</v>
      </c>
      <c r="G24" s="356">
        <f>H7*(1-H24)+E7</f>
        <v>18.580740797910682</v>
      </c>
      <c r="H24" s="357">
        <v>0.86</v>
      </c>
    </row>
  </sheetData>
  <mergeCells count="11">
    <mergeCell ref="G1:G2"/>
    <mergeCell ref="H1:H2"/>
    <mergeCell ref="I1:I2"/>
    <mergeCell ref="J1:J2"/>
    <mergeCell ref="K1:K2"/>
    <mergeCell ref="A15:A17"/>
    <mergeCell ref="A1:A3"/>
    <mergeCell ref="B1:D1"/>
    <mergeCell ref="E1:E2"/>
    <mergeCell ref="F1:F2"/>
    <mergeCell ref="A14:C14"/>
  </mergeCells>
  <phoneticPr fontId="9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274320</xdr:colOff>
                <xdr:row>1</xdr:row>
                <xdr:rowOff>30480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32" r:id="rId5">
          <objectPr defaultSize="0" autoPict="0" r:id="rId6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335280</xdr:colOff>
                <xdr:row>1</xdr:row>
                <xdr:rowOff>38100</xdr:rowOff>
              </to>
            </anchor>
          </objectPr>
        </oleObject>
      </mc:Choice>
      <mc:Fallback>
        <oleObject progId="Equation.DSMT4" shapeId="1032" r:id="rId5"/>
      </mc:Fallback>
    </mc:AlternateContent>
    <mc:AlternateContent xmlns:mc="http://schemas.openxmlformats.org/markup-compatibility/2006">
      <mc:Choice Requires="x14">
        <oleObject progId="Equation.DSMT4" shapeId="1031" r:id="rId7">
          <objectPr defaultSize="0" autoPict="0" r:id="rId8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342900</xdr:colOff>
                <xdr:row>1</xdr:row>
                <xdr:rowOff>38100</xdr:rowOff>
              </to>
            </anchor>
          </objectPr>
        </oleObject>
      </mc:Choice>
      <mc:Fallback>
        <oleObject progId="Equation.DSMT4" shapeId="1031" r:id="rId7"/>
      </mc:Fallback>
    </mc:AlternateContent>
    <mc:AlternateContent xmlns:mc="http://schemas.openxmlformats.org/markup-compatibility/2006">
      <mc:Choice Requires="x14">
        <oleObject progId="Equation.DSMT4" shapeId="1030" r:id="rId9">
          <objectPr defaultSize="0" autoPict="0" r:id="rId10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327660</xdr:colOff>
                <xdr:row>1</xdr:row>
                <xdr:rowOff>38100</xdr:rowOff>
              </to>
            </anchor>
          </objectPr>
        </oleObject>
      </mc:Choice>
      <mc:Fallback>
        <oleObject progId="Equation.DSMT4" shapeId="1030" r:id="rId9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autoPict="0" r:id="rId12">
            <anchor moveWithCells="1" sizeWithCells="1">
              <from>
                <xdr:col>7</xdr:col>
                <xdr:colOff>525780</xdr:colOff>
                <xdr:row>0</xdr:row>
                <xdr:rowOff>0</xdr:rowOff>
              </from>
              <to>
                <xdr:col>8</xdr:col>
                <xdr:colOff>434340</xdr:colOff>
                <xdr:row>1</xdr:row>
                <xdr:rowOff>38100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28" r:id="rId13">
          <objectPr defaultSize="0" autoPict="0" r:id="rId14">
            <anchor moveWithCells="1" sizeWithCells="1">
              <from>
                <xdr:col>9</xdr:col>
                <xdr:colOff>7620</xdr:colOff>
                <xdr:row>0</xdr:row>
                <xdr:rowOff>22860</xdr:rowOff>
              </from>
              <to>
                <xdr:col>9</xdr:col>
                <xdr:colOff>434340</xdr:colOff>
                <xdr:row>1</xdr:row>
                <xdr:rowOff>53340</xdr:rowOff>
              </to>
            </anchor>
          </objectPr>
        </oleObject>
      </mc:Choice>
      <mc:Fallback>
        <oleObject progId="Equation.DSMT4" shapeId="1028" r:id="rId1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3" sqref="E13"/>
    </sheetView>
  </sheetViews>
  <sheetFormatPr defaultRowHeight="14.4"/>
  <cols>
    <col min="1" max="1" width="17.21875" customWidth="1"/>
    <col min="2" max="3" width="12.33203125" bestFit="1" customWidth="1"/>
  </cols>
  <sheetData>
    <row r="1" spans="1:5" ht="15.6">
      <c r="A1" s="313" t="s">
        <v>414</v>
      </c>
    </row>
    <row r="2" spans="1:5" ht="15" thickBot="1"/>
    <row r="3" spans="1:5" ht="15" thickBot="1">
      <c r="A3" s="12" t="s">
        <v>17</v>
      </c>
      <c r="B3" s="13" t="s">
        <v>6</v>
      </c>
      <c r="C3" s="13" t="s">
        <v>5</v>
      </c>
      <c r="D3" s="32"/>
      <c r="E3" s="403" t="s">
        <v>532</v>
      </c>
    </row>
    <row r="4" spans="1:5">
      <c r="A4" s="22"/>
      <c r="B4" s="227"/>
      <c r="C4" s="227"/>
      <c r="D4" s="256"/>
    </row>
    <row r="5" spans="1:5">
      <c r="A5" s="4" t="s">
        <v>5</v>
      </c>
      <c r="B5" s="723">
        <f>(100/'LC for SE'!$S$8-1)*1000*'LC for SE'!M20</f>
        <v>0.51650816709968717</v>
      </c>
      <c r="C5" s="723">
        <f>(100/'LC for SE'!$S$9-1)*1000*'LC for SE'!E31</f>
        <v>0.51650816709968717</v>
      </c>
      <c r="D5" s="724">
        <f>C5/C8</f>
        <v>0.10284433235252909</v>
      </c>
    </row>
    <row r="6" spans="1:5">
      <c r="A6" s="4" t="s">
        <v>7</v>
      </c>
      <c r="B6" s="723">
        <f>(100/'LC for SE'!$S$8-1)*1000*'LC for SE'!M22</f>
        <v>3.6591859249569119</v>
      </c>
      <c r="C6" s="723">
        <f>(100/'LC for SE'!$S$9-1)*1000*'LC for SE'!E33</f>
        <v>3.6591859249569119</v>
      </c>
      <c r="D6" s="724">
        <f>C6/C8</f>
        <v>0.72859744990892539</v>
      </c>
    </row>
    <row r="7" spans="1:5" ht="15" thickBot="1">
      <c r="A7" s="3" t="s">
        <v>8</v>
      </c>
      <c r="B7" s="723">
        <f>(100/'LC for SE'!$S$8-1)*1000*'LC for SE'!M23</f>
        <v>0.84653858994676257</v>
      </c>
      <c r="C7" s="723">
        <f>(100/'LC for SE'!$S$9-1)*1000*'LC for SE'!E34</f>
        <v>0.84653858994676257</v>
      </c>
    </row>
    <row r="8" spans="1:5" ht="15.6">
      <c r="A8" s="14"/>
      <c r="C8" s="464">
        <f>SUM(C5:C7)</f>
        <v>5.0222326820033611</v>
      </c>
    </row>
    <row r="9" spans="1:5" ht="15.6">
      <c r="A9" s="14"/>
    </row>
    <row r="10" spans="1:5" ht="15.6">
      <c r="A10" s="31" t="s">
        <v>87</v>
      </c>
    </row>
    <row r="11" spans="1:5">
      <c r="A11" s="32" t="s">
        <v>97</v>
      </c>
    </row>
    <row r="12" spans="1:5">
      <c r="A12" s="32" t="s">
        <v>98</v>
      </c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J17" sqref="J17"/>
    </sheetView>
  </sheetViews>
  <sheetFormatPr defaultRowHeight="14.4"/>
  <cols>
    <col min="1" max="1" width="11.6640625" style="541" bestFit="1" customWidth="1"/>
    <col min="2" max="256" width="8.88671875" style="541"/>
    <col min="257" max="257" width="10.44140625" style="541" bestFit="1" customWidth="1"/>
    <col min="258" max="512" width="8.88671875" style="541"/>
    <col min="513" max="513" width="10.44140625" style="541" bestFit="1" customWidth="1"/>
    <col min="514" max="768" width="8.88671875" style="541"/>
    <col min="769" max="769" width="10.44140625" style="541" bestFit="1" customWidth="1"/>
    <col min="770" max="1024" width="8.88671875" style="541"/>
    <col min="1025" max="1025" width="10.44140625" style="541" bestFit="1" customWidth="1"/>
    <col min="1026" max="1280" width="8.88671875" style="541"/>
    <col min="1281" max="1281" width="10.44140625" style="541" bestFit="1" customWidth="1"/>
    <col min="1282" max="1536" width="8.88671875" style="541"/>
    <col min="1537" max="1537" width="10.44140625" style="541" bestFit="1" customWidth="1"/>
    <col min="1538" max="1792" width="8.88671875" style="541"/>
    <col min="1793" max="1793" width="10.44140625" style="541" bestFit="1" customWidth="1"/>
    <col min="1794" max="2048" width="8.88671875" style="541"/>
    <col min="2049" max="2049" width="10.44140625" style="541" bestFit="1" customWidth="1"/>
    <col min="2050" max="2304" width="8.88671875" style="541"/>
    <col min="2305" max="2305" width="10.44140625" style="541" bestFit="1" customWidth="1"/>
    <col min="2306" max="2560" width="8.88671875" style="541"/>
    <col min="2561" max="2561" width="10.44140625" style="541" bestFit="1" customWidth="1"/>
    <col min="2562" max="2816" width="8.88671875" style="541"/>
    <col min="2817" max="2817" width="10.44140625" style="541" bestFit="1" customWidth="1"/>
    <col min="2818" max="3072" width="8.88671875" style="541"/>
    <col min="3073" max="3073" width="10.44140625" style="541" bestFit="1" customWidth="1"/>
    <col min="3074" max="3328" width="8.88671875" style="541"/>
    <col min="3329" max="3329" width="10.44140625" style="541" bestFit="1" customWidth="1"/>
    <col min="3330" max="3584" width="8.88671875" style="541"/>
    <col min="3585" max="3585" width="10.44140625" style="541" bestFit="1" customWidth="1"/>
    <col min="3586" max="3840" width="8.88671875" style="541"/>
    <col min="3841" max="3841" width="10.44140625" style="541" bestFit="1" customWidth="1"/>
    <col min="3842" max="4096" width="8.88671875" style="541"/>
    <col min="4097" max="4097" width="10.44140625" style="541" bestFit="1" customWidth="1"/>
    <col min="4098" max="4352" width="8.88671875" style="541"/>
    <col min="4353" max="4353" width="10.44140625" style="541" bestFit="1" customWidth="1"/>
    <col min="4354" max="4608" width="8.88671875" style="541"/>
    <col min="4609" max="4609" width="10.44140625" style="541" bestFit="1" customWidth="1"/>
    <col min="4610" max="4864" width="8.88671875" style="541"/>
    <col min="4865" max="4865" width="10.44140625" style="541" bestFit="1" customWidth="1"/>
    <col min="4866" max="5120" width="8.88671875" style="541"/>
    <col min="5121" max="5121" width="10.44140625" style="541" bestFit="1" customWidth="1"/>
    <col min="5122" max="5376" width="8.88671875" style="541"/>
    <col min="5377" max="5377" width="10.44140625" style="541" bestFit="1" customWidth="1"/>
    <col min="5378" max="5632" width="8.88671875" style="541"/>
    <col min="5633" max="5633" width="10.44140625" style="541" bestFit="1" customWidth="1"/>
    <col min="5634" max="5888" width="8.88671875" style="541"/>
    <col min="5889" max="5889" width="10.44140625" style="541" bestFit="1" customWidth="1"/>
    <col min="5890" max="6144" width="8.88671875" style="541"/>
    <col min="6145" max="6145" width="10.44140625" style="541" bestFit="1" customWidth="1"/>
    <col min="6146" max="6400" width="8.88671875" style="541"/>
    <col min="6401" max="6401" width="10.44140625" style="541" bestFit="1" customWidth="1"/>
    <col min="6402" max="6656" width="8.88671875" style="541"/>
    <col min="6657" max="6657" width="10.44140625" style="541" bestFit="1" customWidth="1"/>
    <col min="6658" max="6912" width="8.88671875" style="541"/>
    <col min="6913" max="6913" width="10.44140625" style="541" bestFit="1" customWidth="1"/>
    <col min="6914" max="7168" width="8.88671875" style="541"/>
    <col min="7169" max="7169" width="10.44140625" style="541" bestFit="1" customWidth="1"/>
    <col min="7170" max="7424" width="8.88671875" style="541"/>
    <col min="7425" max="7425" width="10.44140625" style="541" bestFit="1" customWidth="1"/>
    <col min="7426" max="7680" width="8.88671875" style="541"/>
    <col min="7681" max="7681" width="10.44140625" style="541" bestFit="1" customWidth="1"/>
    <col min="7682" max="7936" width="8.88671875" style="541"/>
    <col min="7937" max="7937" width="10.44140625" style="541" bestFit="1" customWidth="1"/>
    <col min="7938" max="8192" width="8.88671875" style="541"/>
    <col min="8193" max="8193" width="10.44140625" style="541" bestFit="1" customWidth="1"/>
    <col min="8194" max="8448" width="8.88671875" style="541"/>
    <col min="8449" max="8449" width="10.44140625" style="541" bestFit="1" customWidth="1"/>
    <col min="8450" max="8704" width="8.88671875" style="541"/>
    <col min="8705" max="8705" width="10.44140625" style="541" bestFit="1" customWidth="1"/>
    <col min="8706" max="8960" width="8.88671875" style="541"/>
    <col min="8961" max="8961" width="10.44140625" style="541" bestFit="1" customWidth="1"/>
    <col min="8962" max="9216" width="8.88671875" style="541"/>
    <col min="9217" max="9217" width="10.44140625" style="541" bestFit="1" customWidth="1"/>
    <col min="9218" max="9472" width="8.88671875" style="541"/>
    <col min="9473" max="9473" width="10.44140625" style="541" bestFit="1" customWidth="1"/>
    <col min="9474" max="9728" width="8.88671875" style="541"/>
    <col min="9729" max="9729" width="10.44140625" style="541" bestFit="1" customWidth="1"/>
    <col min="9730" max="9984" width="8.88671875" style="541"/>
    <col min="9985" max="9985" width="10.44140625" style="541" bestFit="1" customWidth="1"/>
    <col min="9986" max="10240" width="8.88671875" style="541"/>
    <col min="10241" max="10241" width="10.44140625" style="541" bestFit="1" customWidth="1"/>
    <col min="10242" max="10496" width="8.88671875" style="541"/>
    <col min="10497" max="10497" width="10.44140625" style="541" bestFit="1" customWidth="1"/>
    <col min="10498" max="10752" width="8.88671875" style="541"/>
    <col min="10753" max="10753" width="10.44140625" style="541" bestFit="1" customWidth="1"/>
    <col min="10754" max="11008" width="8.88671875" style="541"/>
    <col min="11009" max="11009" width="10.44140625" style="541" bestFit="1" customWidth="1"/>
    <col min="11010" max="11264" width="8.88671875" style="541"/>
    <col min="11265" max="11265" width="10.44140625" style="541" bestFit="1" customWidth="1"/>
    <col min="11266" max="11520" width="8.88671875" style="541"/>
    <col min="11521" max="11521" width="10.44140625" style="541" bestFit="1" customWidth="1"/>
    <col min="11522" max="11776" width="8.88671875" style="541"/>
    <col min="11777" max="11777" width="10.44140625" style="541" bestFit="1" customWidth="1"/>
    <col min="11778" max="12032" width="8.88671875" style="541"/>
    <col min="12033" max="12033" width="10.44140625" style="541" bestFit="1" customWidth="1"/>
    <col min="12034" max="12288" width="8.88671875" style="541"/>
    <col min="12289" max="12289" width="10.44140625" style="541" bestFit="1" customWidth="1"/>
    <col min="12290" max="12544" width="8.88671875" style="541"/>
    <col min="12545" max="12545" width="10.44140625" style="541" bestFit="1" customWidth="1"/>
    <col min="12546" max="12800" width="8.88671875" style="541"/>
    <col min="12801" max="12801" width="10.44140625" style="541" bestFit="1" customWidth="1"/>
    <col min="12802" max="13056" width="8.88671875" style="541"/>
    <col min="13057" max="13057" width="10.44140625" style="541" bestFit="1" customWidth="1"/>
    <col min="13058" max="13312" width="8.88671875" style="541"/>
    <col min="13313" max="13313" width="10.44140625" style="541" bestFit="1" customWidth="1"/>
    <col min="13314" max="13568" width="8.88671875" style="541"/>
    <col min="13569" max="13569" width="10.44140625" style="541" bestFit="1" customWidth="1"/>
    <col min="13570" max="13824" width="8.88671875" style="541"/>
    <col min="13825" max="13825" width="10.44140625" style="541" bestFit="1" customWidth="1"/>
    <col min="13826" max="14080" width="8.88671875" style="541"/>
    <col min="14081" max="14081" width="10.44140625" style="541" bestFit="1" customWidth="1"/>
    <col min="14082" max="14336" width="8.88671875" style="541"/>
    <col min="14337" max="14337" width="10.44140625" style="541" bestFit="1" customWidth="1"/>
    <col min="14338" max="14592" width="8.88671875" style="541"/>
    <col min="14593" max="14593" width="10.44140625" style="541" bestFit="1" customWidth="1"/>
    <col min="14594" max="14848" width="8.88671875" style="541"/>
    <col min="14849" max="14849" width="10.44140625" style="541" bestFit="1" customWidth="1"/>
    <col min="14850" max="15104" width="8.88671875" style="541"/>
    <col min="15105" max="15105" width="10.44140625" style="541" bestFit="1" customWidth="1"/>
    <col min="15106" max="15360" width="8.88671875" style="541"/>
    <col min="15361" max="15361" width="10.44140625" style="541" bestFit="1" customWidth="1"/>
    <col min="15362" max="15616" width="8.88671875" style="541"/>
    <col min="15617" max="15617" width="10.44140625" style="541" bestFit="1" customWidth="1"/>
    <col min="15618" max="15872" width="8.88671875" style="541"/>
    <col min="15873" max="15873" width="10.44140625" style="541" bestFit="1" customWidth="1"/>
    <col min="15874" max="16128" width="8.88671875" style="541"/>
    <col min="16129" max="16129" width="10.44140625" style="541" bestFit="1" customWidth="1"/>
    <col min="16130" max="16384" width="8.88671875" style="541"/>
  </cols>
  <sheetData>
    <row r="3" spans="1:8">
      <c r="A3" s="547" t="s">
        <v>709</v>
      </c>
      <c r="B3" s="546"/>
      <c r="C3" s="546"/>
      <c r="D3" s="546"/>
      <c r="E3" s="546" t="s">
        <v>708</v>
      </c>
      <c r="F3" s="546" t="s">
        <v>707</v>
      </c>
      <c r="G3" s="546" t="s">
        <v>706</v>
      </c>
      <c r="H3" s="546"/>
    </row>
    <row r="4" spans="1:8">
      <c r="A4" s="548">
        <v>41579</v>
      </c>
      <c r="B4" s="546"/>
      <c r="C4" s="546"/>
      <c r="D4" s="546"/>
      <c r="E4" s="546"/>
      <c r="F4" s="546"/>
      <c r="G4" s="546"/>
      <c r="H4" s="546"/>
    </row>
    <row r="5" spans="1:8">
      <c r="A5" s="546" t="s">
        <v>705</v>
      </c>
      <c r="B5" s="546" t="s">
        <v>704</v>
      </c>
      <c r="C5" s="546" t="s">
        <v>703</v>
      </c>
      <c r="D5" s="546"/>
      <c r="E5" s="546"/>
      <c r="F5" s="546" t="s">
        <v>702</v>
      </c>
      <c r="G5" s="546" t="s">
        <v>701</v>
      </c>
      <c r="H5" s="546"/>
    </row>
    <row r="6" spans="1:8">
      <c r="A6" s="547" t="s">
        <v>700</v>
      </c>
      <c r="B6" s="546"/>
      <c r="C6" s="546"/>
      <c r="D6" s="546"/>
      <c r="E6" s="546"/>
      <c r="F6" s="546"/>
      <c r="G6" s="546"/>
      <c r="H6" s="546"/>
    </row>
    <row r="8" spans="1:8">
      <c r="A8" s="545" t="s">
        <v>699</v>
      </c>
      <c r="B8" s="545"/>
      <c r="C8" s="545" t="s">
        <v>698</v>
      </c>
      <c r="D8" s="543"/>
      <c r="E8" s="543"/>
      <c r="F8" s="543"/>
      <c r="G8" s="543"/>
      <c r="H8" s="543"/>
    </row>
    <row r="9" spans="1:8">
      <c r="A9" s="717" t="s">
        <v>1094</v>
      </c>
      <c r="B9" s="543"/>
      <c r="C9" s="543" t="s">
        <v>697</v>
      </c>
      <c r="D9" s="543"/>
      <c r="E9" s="543"/>
      <c r="F9" s="543"/>
      <c r="G9" s="543"/>
      <c r="H9" s="543"/>
    </row>
    <row r="10" spans="1:8">
      <c r="A10" s="543" t="s">
        <v>696</v>
      </c>
      <c r="B10" s="543"/>
      <c r="C10" s="544" t="s">
        <v>695</v>
      </c>
      <c r="D10" s="543"/>
      <c r="E10" s="543"/>
      <c r="F10" s="543"/>
      <c r="G10" s="543"/>
      <c r="H10" s="543"/>
    </row>
    <row r="11" spans="1:8">
      <c r="A11" s="543" t="s">
        <v>694</v>
      </c>
      <c r="B11" s="543"/>
      <c r="C11" s="544" t="s">
        <v>693</v>
      </c>
      <c r="D11" s="543"/>
      <c r="E11" s="543"/>
      <c r="F11" s="543"/>
      <c r="G11" s="543"/>
      <c r="H11" s="543"/>
    </row>
    <row r="12" spans="1:8">
      <c r="A12" s="543"/>
      <c r="B12" s="543"/>
      <c r="C12" s="544"/>
      <c r="D12" s="543"/>
      <c r="E12" s="543"/>
      <c r="F12" s="543"/>
      <c r="G12" s="543"/>
      <c r="H12" s="543"/>
    </row>
    <row r="13" spans="1:8">
      <c r="A13" s="544"/>
      <c r="B13" s="543"/>
      <c r="C13" s="544"/>
      <c r="D13" s="543"/>
      <c r="E13" s="543"/>
      <c r="F13" s="543"/>
      <c r="G13" s="543"/>
      <c r="H13" s="543"/>
    </row>
    <row r="14" spans="1:8">
      <c r="A14" s="544"/>
      <c r="B14" s="543"/>
      <c r="C14" s="544"/>
      <c r="D14" s="543"/>
      <c r="E14" s="543"/>
      <c r="F14" s="543"/>
      <c r="G14" s="543"/>
      <c r="H14" s="543"/>
    </row>
    <row r="15" spans="1:8">
      <c r="A15" s="544"/>
      <c r="B15" s="543"/>
      <c r="C15" s="544"/>
      <c r="D15" s="543"/>
      <c r="E15" s="543"/>
      <c r="F15" s="543"/>
      <c r="G15" s="543"/>
      <c r="H15" s="543"/>
    </row>
    <row r="16" spans="1:8">
      <c r="A16" s="544"/>
      <c r="B16" s="543"/>
      <c r="C16" s="544"/>
      <c r="D16" s="543"/>
      <c r="E16" s="543"/>
      <c r="F16" s="543"/>
      <c r="G16" s="543"/>
      <c r="H16" s="543"/>
    </row>
    <row r="17" spans="1:3">
      <c r="A17" s="542"/>
      <c r="C17" s="542"/>
    </row>
    <row r="20" spans="1:3">
      <c r="A20" s="542"/>
      <c r="C20" s="542"/>
    </row>
    <row r="21" spans="1:3">
      <c r="A21" s="542"/>
      <c r="C21" s="542"/>
    </row>
    <row r="22" spans="1:3">
      <c r="C22" s="542"/>
    </row>
    <row r="23" spans="1:3">
      <c r="A23" s="542"/>
      <c r="C23" s="542"/>
    </row>
  </sheetData>
  <phoneticPr fontId="6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"/>
  <sheetViews>
    <sheetView workbookViewId="0">
      <selection activeCell="G12" sqref="G12"/>
    </sheetView>
  </sheetViews>
  <sheetFormatPr defaultColWidth="8.88671875" defaultRowHeight="14.4"/>
  <cols>
    <col min="1" max="1" width="14.109375" style="541" customWidth="1"/>
    <col min="2" max="2" width="9.44140625" style="541" bestFit="1" customWidth="1"/>
    <col min="3" max="16384" width="8.88671875" style="541"/>
  </cols>
  <sheetData>
    <row r="2" spans="1:5">
      <c r="A2" s="541" t="s">
        <v>725</v>
      </c>
    </row>
    <row r="3" spans="1:5">
      <c r="A3" s="541" t="s">
        <v>718</v>
      </c>
    </row>
    <row r="4" spans="1:5">
      <c r="A4" s="557" t="s">
        <v>717</v>
      </c>
      <c r="B4" s="556"/>
    </row>
    <row r="5" spans="1:5">
      <c r="A5" s="555" t="s">
        <v>716</v>
      </c>
      <c r="B5" s="554"/>
    </row>
    <row r="6" spans="1:5">
      <c r="A6" s="553" t="s">
        <v>715</v>
      </c>
      <c r="B6" s="551">
        <f>B7/2+B8/2</f>
        <v>119.65811965811966</v>
      </c>
    </row>
    <row r="7" spans="1:5" ht="15.6">
      <c r="A7" s="552" t="s">
        <v>724</v>
      </c>
      <c r="B7" s="559">
        <f>100/78*100</f>
        <v>128.2051282051282</v>
      </c>
      <c r="E7" s="549" t="s">
        <v>723</v>
      </c>
    </row>
    <row r="8" spans="1:5" ht="15.6">
      <c r="A8" s="552" t="s">
        <v>722</v>
      </c>
      <c r="B8" s="558">
        <f>100/90*100</f>
        <v>111.11111111111111</v>
      </c>
      <c r="E8" s="549" t="s">
        <v>721</v>
      </c>
    </row>
    <row r="9" spans="1:5" ht="15.6">
      <c r="E9" s="549" t="s">
        <v>720</v>
      </c>
    </row>
    <row r="11" spans="1:5">
      <c r="A11" s="541" t="s">
        <v>719</v>
      </c>
    </row>
    <row r="12" spans="1:5">
      <c r="A12" s="541" t="s">
        <v>718</v>
      </c>
    </row>
    <row r="13" spans="1:5">
      <c r="A13" s="557" t="s">
        <v>717</v>
      </c>
      <c r="B13" s="556"/>
    </row>
    <row r="14" spans="1:5">
      <c r="A14" s="555" t="s">
        <v>716</v>
      </c>
      <c r="B14" s="554"/>
    </row>
    <row r="15" spans="1:5">
      <c r="A15" s="553" t="s">
        <v>715</v>
      </c>
      <c r="B15" s="551">
        <v>110</v>
      </c>
    </row>
    <row r="16" spans="1:5" ht="15.6">
      <c r="A16" s="552" t="s">
        <v>714</v>
      </c>
      <c r="B16" s="541">
        <v>115</v>
      </c>
      <c r="E16" s="549" t="s">
        <v>713</v>
      </c>
    </row>
    <row r="17" spans="1:6" ht="15.6">
      <c r="A17" s="552" t="s">
        <v>712</v>
      </c>
      <c r="B17" s="541">
        <v>105</v>
      </c>
      <c r="E17" s="549" t="s">
        <v>711</v>
      </c>
    </row>
    <row r="19" spans="1:6">
      <c r="B19" s="551">
        <f>48.6/(42.8*0.9)</f>
        <v>1.2616822429906545</v>
      </c>
    </row>
    <row r="20" spans="1:6">
      <c r="E20" s="550" t="s">
        <v>710</v>
      </c>
    </row>
    <row r="23" spans="1:6" ht="15.6">
      <c r="F23" s="549"/>
    </row>
  </sheetData>
  <phoneticPr fontId="60" type="noConversion"/>
  <hyperlinks>
    <hyperlink ref="E9" r:id="rId1" display="http://wenku.baidu.com/view/75a1357e168884868762d6ba.html"/>
    <hyperlink ref="E16" location="_ftn1" display="_ftn1"/>
    <hyperlink ref="E20" location="_ftnref1" display="_ftnref1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21" sqref="L21"/>
    </sheetView>
  </sheetViews>
  <sheetFormatPr defaultColWidth="8.88671875" defaultRowHeight="14.4"/>
  <cols>
    <col min="1" max="1" width="15.77734375" style="541" customWidth="1"/>
    <col min="2" max="2" width="10.6640625" style="541" customWidth="1"/>
    <col min="3" max="16384" width="8.88671875" style="541"/>
  </cols>
  <sheetData>
    <row r="1" spans="1:15">
      <c r="G1" s="557" t="s">
        <v>779</v>
      </c>
      <c r="H1" s="564"/>
      <c r="I1" s="564"/>
      <c r="J1" s="556"/>
      <c r="L1" s="557" t="s">
        <v>778</v>
      </c>
      <c r="M1" s="564"/>
      <c r="N1" s="564"/>
      <c r="O1" s="556"/>
    </row>
    <row r="2" spans="1:15">
      <c r="B2" s="557" t="s">
        <v>777</v>
      </c>
      <c r="C2" s="564" t="s">
        <v>776</v>
      </c>
      <c r="D2" s="564"/>
      <c r="E2" s="556" t="s">
        <v>775</v>
      </c>
      <c r="G2" s="555" t="str">
        <f>B2</f>
        <v>WTW GHG</v>
      </c>
      <c r="H2" s="563" t="str">
        <f>C2</f>
        <v>单位距离能耗</v>
      </c>
      <c r="I2" s="563"/>
      <c r="J2" s="554" t="str">
        <f>E2</f>
        <v>减碳比例</v>
      </c>
      <c r="L2" s="555" t="str">
        <f>G2</f>
        <v>WTW GHG</v>
      </c>
      <c r="M2" s="563" t="str">
        <f>H2</f>
        <v>单位距离能耗</v>
      </c>
      <c r="N2" s="563"/>
      <c r="O2" s="554" t="str">
        <f>J2</f>
        <v>减碳比例</v>
      </c>
    </row>
    <row r="3" spans="1:15" ht="16.8">
      <c r="B3" s="555" t="s">
        <v>774</v>
      </c>
      <c r="C3" s="563" t="s">
        <v>773</v>
      </c>
      <c r="D3" s="563"/>
      <c r="E3" s="554"/>
      <c r="G3" s="555" t="str">
        <f>B3</f>
        <v>g CO2,e/MJ</v>
      </c>
      <c r="H3" s="563" t="str">
        <f>C3</f>
        <v>柴油=100</v>
      </c>
      <c r="I3" s="563"/>
      <c r="J3" s="554"/>
      <c r="L3" s="555" t="str">
        <f>G3</f>
        <v>g CO2,e/MJ</v>
      </c>
      <c r="M3" s="563" t="str">
        <f>H3</f>
        <v>柴油=100</v>
      </c>
      <c r="N3" s="563"/>
      <c r="O3" s="554"/>
    </row>
    <row r="4" spans="1:15">
      <c r="A4" s="541" t="str">
        <f>'NG-based (chart)'!B16</f>
        <v>LNG车(海外进口)</v>
      </c>
      <c r="B4" s="601">
        <f>'fuel summary'!J44</f>
        <v>76.135711530771573</v>
      </c>
      <c r="C4" s="565">
        <f>'Key Input (商用)'!B6</f>
        <v>119.65811965811966</v>
      </c>
      <c r="D4" s="563"/>
      <c r="E4" s="600">
        <f>1-(B4*C4)/(B7*C7)</f>
        <v>3.2831971555646877E-2</v>
      </c>
      <c r="G4" s="601">
        <f>B4</f>
        <v>76.135711530771573</v>
      </c>
      <c r="H4" s="565">
        <f>'Key Input (商用)'!B7</f>
        <v>128.2051282051282</v>
      </c>
      <c r="I4" s="563"/>
      <c r="J4" s="600">
        <f>1-(G4*H4)/(G7*H7)</f>
        <v>-3.625145904752114E-2</v>
      </c>
      <c r="L4" s="601">
        <f>G4</f>
        <v>76.135711530771573</v>
      </c>
      <c r="M4" s="565">
        <f>'Key Input (商用)'!B8</f>
        <v>111.11111111111111</v>
      </c>
      <c r="N4" s="563"/>
      <c r="O4" s="600">
        <f>1-(L4*M4)/(L7*M7)</f>
        <v>0.10191540215881489</v>
      </c>
    </row>
    <row r="5" spans="1:15">
      <c r="A5" s="541" t="str">
        <f>'NG-based (chart)'!B17</f>
        <v>LNG车(井口液化)</v>
      </c>
      <c r="B5" s="601">
        <f>'fuel summary'!J57</f>
        <v>78.948904840744902</v>
      </c>
      <c r="C5" s="565">
        <f>C4</f>
        <v>119.65811965811966</v>
      </c>
      <c r="D5" s="563"/>
      <c r="E5" s="600">
        <f>1-(B5*C5)/(B7*C7)</f>
        <v>-2.904617392367026E-3</v>
      </c>
      <c r="G5" s="601">
        <f>B5</f>
        <v>78.948904840744902</v>
      </c>
      <c r="H5" s="565">
        <f>H4</f>
        <v>128.2051282051282</v>
      </c>
      <c r="I5" s="563"/>
      <c r="J5" s="600">
        <f>1-(G5*H5)/(G7*H7)</f>
        <v>-7.4540661491821814E-2</v>
      </c>
      <c r="L5" s="601">
        <f>G5</f>
        <v>78.948904840744902</v>
      </c>
      <c r="M5" s="565">
        <f>M4</f>
        <v>111.11111111111111</v>
      </c>
      <c r="N5" s="563"/>
      <c r="O5" s="600">
        <f>1-(L5*M5)/(L7*M7)</f>
        <v>6.8731426707087873E-2</v>
      </c>
    </row>
    <row r="6" spans="1:15">
      <c r="A6" s="541" t="str">
        <f>'NG-based (chart)'!B18</f>
        <v>LNG车(管道气液化)</v>
      </c>
      <c r="B6" s="601">
        <f>'fuel summary'!J70</f>
        <v>79.95083254710957</v>
      </c>
      <c r="C6" s="565">
        <f>C5</f>
        <v>119.65811965811966</v>
      </c>
      <c r="D6" s="563"/>
      <c r="E6" s="600">
        <f>1-(B6*C6)/(B7*C7)</f>
        <v>-1.5632316719335737E-2</v>
      </c>
      <c r="G6" s="601">
        <f>B6</f>
        <v>79.95083254710957</v>
      </c>
      <c r="H6" s="565">
        <f>H5</f>
        <v>128.2051282051282</v>
      </c>
      <c r="I6" s="563"/>
      <c r="J6" s="600">
        <f>1-(G6*H6)/(G7*H7)</f>
        <v>-8.8177482199288226E-2</v>
      </c>
      <c r="L6" s="601">
        <f>G6</f>
        <v>79.95083254710957</v>
      </c>
      <c r="M6" s="565">
        <f>M5</f>
        <v>111.11111111111111</v>
      </c>
      <c r="N6" s="563"/>
      <c r="O6" s="600">
        <f>1-(L6*M6)/(L7*M7)</f>
        <v>5.6912848760616863E-2</v>
      </c>
    </row>
    <row r="7" spans="1:15">
      <c r="A7" s="541" t="s">
        <v>772</v>
      </c>
      <c r="B7" s="562">
        <f>'fuel summary'!J98</f>
        <v>94.195174082197369</v>
      </c>
      <c r="C7" s="599">
        <v>100</v>
      </c>
      <c r="D7" s="561"/>
      <c r="E7" s="560" t="s">
        <v>771</v>
      </c>
      <c r="G7" s="562">
        <f>B7</f>
        <v>94.195174082197369</v>
      </c>
      <c r="H7" s="599">
        <f>C7</f>
        <v>100</v>
      </c>
      <c r="I7" s="561"/>
      <c r="J7" s="560" t="str">
        <f>E7</f>
        <v>-</v>
      </c>
      <c r="L7" s="562">
        <f>G7</f>
        <v>94.195174082197369</v>
      </c>
      <c r="M7" s="599">
        <f>H7</f>
        <v>100</v>
      </c>
      <c r="N7" s="561"/>
      <c r="O7" s="560" t="str">
        <f>J7</f>
        <v>-</v>
      </c>
    </row>
  </sheetData>
  <phoneticPr fontId="60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P26" sqref="P26"/>
    </sheetView>
  </sheetViews>
  <sheetFormatPr defaultColWidth="8.88671875" defaultRowHeight="14.4"/>
  <cols>
    <col min="1" max="16384" width="8.88671875" style="541"/>
  </cols>
  <sheetData>
    <row r="1" spans="1:15">
      <c r="G1" s="557" t="s">
        <v>790</v>
      </c>
      <c r="H1" s="564"/>
      <c r="I1" s="564"/>
      <c r="J1" s="556"/>
      <c r="L1" s="557" t="s">
        <v>789</v>
      </c>
      <c r="M1" s="564"/>
      <c r="N1" s="564"/>
      <c r="O1" s="556"/>
    </row>
    <row r="2" spans="1:15">
      <c r="B2" s="557" t="s">
        <v>788</v>
      </c>
      <c r="C2" s="564" t="s">
        <v>787</v>
      </c>
      <c r="D2" s="564"/>
      <c r="E2" s="556" t="s">
        <v>786</v>
      </c>
      <c r="G2" s="555" t="str">
        <f>B2</f>
        <v>WTW GHG</v>
      </c>
      <c r="H2" s="563" t="str">
        <f>C2</f>
        <v>单位距离能耗</v>
      </c>
      <c r="I2" s="563"/>
      <c r="J2" s="554" t="str">
        <f>E2</f>
        <v>减碳比例</v>
      </c>
      <c r="L2" s="555" t="str">
        <f>G2</f>
        <v>WTW GHG</v>
      </c>
      <c r="M2" s="563" t="str">
        <f>H2</f>
        <v>单位距离能耗</v>
      </c>
      <c r="N2" s="563"/>
      <c r="O2" s="554" t="str">
        <f>J2</f>
        <v>减碳比例</v>
      </c>
    </row>
    <row r="3" spans="1:15" ht="16.8">
      <c r="B3" s="555" t="s">
        <v>785</v>
      </c>
      <c r="C3" s="563" t="s">
        <v>784</v>
      </c>
      <c r="D3" s="563"/>
      <c r="E3" s="554"/>
      <c r="G3" s="555" t="str">
        <f>B3</f>
        <v>g CO2,e/MJ</v>
      </c>
      <c r="H3" s="563" t="str">
        <f>C3</f>
        <v>柴油=100</v>
      </c>
      <c r="I3" s="563"/>
      <c r="J3" s="554"/>
      <c r="L3" s="555" t="str">
        <f>G3</f>
        <v>g CO2,e/MJ</v>
      </c>
      <c r="M3" s="563" t="str">
        <f>H3</f>
        <v>柴油=100</v>
      </c>
      <c r="N3" s="563"/>
      <c r="O3" s="554"/>
    </row>
    <row r="4" spans="1:15">
      <c r="A4" s="541" t="s">
        <v>783</v>
      </c>
      <c r="B4" s="603">
        <f>'fuel summary'!J44</f>
        <v>76.135711530771573</v>
      </c>
      <c r="C4" s="565">
        <f>'Key Input (商用)'!B15</f>
        <v>110</v>
      </c>
      <c r="D4" s="563"/>
      <c r="E4" s="600">
        <f>1-(B4*C4)/(B7*C7)</f>
        <v>0.11089624813722698</v>
      </c>
      <c r="G4" s="601">
        <f>B4</f>
        <v>76.135711530771573</v>
      </c>
      <c r="H4" s="565">
        <f>'Key Input (商用)'!B16</f>
        <v>115</v>
      </c>
      <c r="I4" s="563"/>
      <c r="J4" s="600">
        <f>1-(G4*H4)/(G7*H7)</f>
        <v>7.0482441234373527E-2</v>
      </c>
      <c r="L4" s="601">
        <f>G4</f>
        <v>76.135711530771573</v>
      </c>
      <c r="M4" s="565">
        <f>'Key Input (商用)'!B17</f>
        <v>105</v>
      </c>
      <c r="N4" s="563"/>
      <c r="O4" s="600">
        <f>1-(L4*M4)/(L7*M7)</f>
        <v>0.15131005504008022</v>
      </c>
    </row>
    <row r="5" spans="1:15">
      <c r="A5" s="541" t="s">
        <v>782</v>
      </c>
      <c r="B5" s="603">
        <f>'fuel summary'!J57</f>
        <v>78.948904840744902</v>
      </c>
      <c r="C5" s="565">
        <f>C4</f>
        <v>110</v>
      </c>
      <c r="D5" s="563"/>
      <c r="E5" s="600">
        <f>1-(B5*C5)/(B7*C7)</f>
        <v>7.8044112440016966E-2</v>
      </c>
      <c r="G5" s="601">
        <f>B5</f>
        <v>78.948904840744902</v>
      </c>
      <c r="H5" s="565">
        <f>H4</f>
        <v>115</v>
      </c>
      <c r="I5" s="563"/>
      <c r="J5" s="600">
        <f>1-(G5*H5)/(G7*H7)</f>
        <v>3.6137026641835934E-2</v>
      </c>
      <c r="L5" s="601">
        <f>G5</f>
        <v>78.948904840744902</v>
      </c>
      <c r="M5" s="565">
        <f>M4</f>
        <v>105</v>
      </c>
      <c r="N5" s="563"/>
      <c r="O5" s="600">
        <f>1-(L5*M5)/(L7*M7)</f>
        <v>0.11995119823819789</v>
      </c>
    </row>
    <row r="6" spans="1:15">
      <c r="A6" s="541" t="s">
        <v>781</v>
      </c>
      <c r="B6" s="603">
        <f>'fuel summary'!J70</f>
        <v>79.95083254710957</v>
      </c>
      <c r="C6" s="565">
        <f>C5</f>
        <v>110</v>
      </c>
      <c r="D6" s="563"/>
      <c r="E6" s="600">
        <f>1-(B6*C6)/(B7*C7)</f>
        <v>6.634372027301072E-2</v>
      </c>
      <c r="G6" s="601">
        <f>B6</f>
        <v>79.95083254710957</v>
      </c>
      <c r="H6" s="565">
        <f>H5</f>
        <v>115</v>
      </c>
      <c r="I6" s="563"/>
      <c r="J6" s="600">
        <f>1-(G6*H6)/(G7*H7)</f>
        <v>2.3904798467238364E-2</v>
      </c>
      <c r="L6" s="601">
        <f>G6</f>
        <v>79.95083254710957</v>
      </c>
      <c r="M6" s="565">
        <f>M5</f>
        <v>105</v>
      </c>
      <c r="N6" s="563"/>
      <c r="O6" s="600">
        <f>1-(L6*M6)/(L7*M7)</f>
        <v>0.10878264207878297</v>
      </c>
    </row>
    <row r="7" spans="1:15">
      <c r="A7" s="541" t="s">
        <v>780</v>
      </c>
      <c r="B7" s="602">
        <f>'fuel summary'!J98</f>
        <v>94.195174082197369</v>
      </c>
      <c r="C7" s="599">
        <v>100</v>
      </c>
      <c r="D7" s="561"/>
      <c r="E7" s="560" t="s">
        <v>771</v>
      </c>
      <c r="G7" s="562">
        <f>B7</f>
        <v>94.195174082197369</v>
      </c>
      <c r="H7" s="599">
        <f>C7</f>
        <v>100</v>
      </c>
      <c r="I7" s="561"/>
      <c r="J7" s="560" t="str">
        <f>E7</f>
        <v>-</v>
      </c>
      <c r="L7" s="562">
        <f>G7</f>
        <v>94.195174082197369</v>
      </c>
      <c r="M7" s="599">
        <f>H7</f>
        <v>100</v>
      </c>
      <c r="N7" s="561"/>
      <c r="O7" s="560" t="str">
        <f>J7</f>
        <v>-</v>
      </c>
    </row>
    <row r="9" spans="1:15">
      <c r="A9" s="720" t="s">
        <v>1105</v>
      </c>
      <c r="B9" s="677">
        <f>B7-('fuel summary'!H44+'fuel summary'!I44)</f>
        <v>37.292443914431736</v>
      </c>
    </row>
    <row r="10" spans="1:15">
      <c r="A10" s="720" t="s">
        <v>1106</v>
      </c>
      <c r="B10" s="600">
        <f>B9/B7</f>
        <v>0.39590609898856705</v>
      </c>
    </row>
  </sheetData>
  <phoneticPr fontId="6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6"/>
  <sheetViews>
    <sheetView topLeftCell="A7" workbookViewId="0">
      <selection activeCell="B26" sqref="B26"/>
    </sheetView>
  </sheetViews>
  <sheetFormatPr defaultRowHeight="14.4"/>
  <cols>
    <col min="5" max="5" width="12.77734375" bestFit="1" customWidth="1"/>
  </cols>
  <sheetData>
    <row r="2" spans="1:17" ht="15" thickBot="1">
      <c r="A2" s="533" t="s">
        <v>1084</v>
      </c>
      <c r="B2" t="s">
        <v>640</v>
      </c>
      <c r="H2" s="533" t="s">
        <v>1085</v>
      </c>
      <c r="I2" s="533" t="s">
        <v>924</v>
      </c>
      <c r="O2" s="533"/>
    </row>
    <row r="3" spans="1:17">
      <c r="A3" s="659">
        <v>1</v>
      </c>
      <c r="B3" s="37" t="s">
        <v>641</v>
      </c>
      <c r="C3" s="37"/>
      <c r="D3" s="37"/>
      <c r="E3" s="37"/>
      <c r="F3" s="38"/>
      <c r="H3" s="659">
        <v>1</v>
      </c>
      <c r="I3" s="664" t="s">
        <v>923</v>
      </c>
      <c r="J3" s="37"/>
      <c r="K3" s="37"/>
      <c r="L3" s="37"/>
      <c r="M3" s="38"/>
      <c r="O3" s="533"/>
      <c r="Q3" s="533"/>
    </row>
    <row r="4" spans="1:17">
      <c r="A4" s="660">
        <v>1.1000000000000001</v>
      </c>
      <c r="B4" s="35" t="s">
        <v>646</v>
      </c>
      <c r="C4" s="35"/>
      <c r="D4" s="35"/>
      <c r="E4" s="361">
        <v>0.96</v>
      </c>
      <c r="F4" s="40" t="s">
        <v>642</v>
      </c>
      <c r="H4" s="660">
        <v>1.1000000000000001</v>
      </c>
      <c r="I4" s="527" t="s">
        <v>520</v>
      </c>
      <c r="J4" s="35"/>
      <c r="K4" s="35"/>
      <c r="L4" s="667">
        <f>93%</f>
        <v>0.93</v>
      </c>
      <c r="M4" s="40" t="s">
        <v>642</v>
      </c>
      <c r="O4" s="533"/>
    </row>
    <row r="5" spans="1:17">
      <c r="A5" s="660">
        <v>1.2</v>
      </c>
      <c r="B5" s="35" t="s">
        <v>647</v>
      </c>
      <c r="C5" s="35"/>
      <c r="D5" s="35"/>
      <c r="E5" s="361">
        <v>0.94</v>
      </c>
      <c r="F5" s="40" t="s">
        <v>642</v>
      </c>
      <c r="H5" s="662">
        <v>1.2</v>
      </c>
      <c r="I5" s="536" t="s">
        <v>925</v>
      </c>
      <c r="J5" s="35"/>
      <c r="K5" s="35"/>
      <c r="L5" s="667">
        <v>0.99</v>
      </c>
      <c r="M5" s="40" t="s">
        <v>642</v>
      </c>
    </row>
    <row r="6" spans="1:17">
      <c r="A6" s="660">
        <v>1.3</v>
      </c>
      <c r="B6" s="527" t="s">
        <v>677</v>
      </c>
      <c r="C6" s="35"/>
      <c r="D6" s="35"/>
      <c r="E6" s="661">
        <f>0.072*47.7/1000</f>
        <v>3.4344000000000002E-3</v>
      </c>
      <c r="F6" s="40" t="s">
        <v>642</v>
      </c>
      <c r="H6" s="662">
        <v>1.3</v>
      </c>
      <c r="I6" s="665" t="s">
        <v>927</v>
      </c>
      <c r="J6" s="35"/>
      <c r="K6" s="35"/>
      <c r="L6" s="667">
        <v>0.89100000000000001</v>
      </c>
      <c r="M6" s="40" t="s">
        <v>642</v>
      </c>
    </row>
    <row r="7" spans="1:17" ht="15" thickBot="1">
      <c r="A7" s="660"/>
      <c r="B7" s="35"/>
      <c r="C7" s="35"/>
      <c r="D7" s="35"/>
      <c r="E7" s="35"/>
      <c r="F7" s="40"/>
      <c r="H7" s="663">
        <v>1.4</v>
      </c>
      <c r="I7" s="666" t="s">
        <v>926</v>
      </c>
      <c r="J7" s="42"/>
      <c r="K7" s="42"/>
      <c r="L7" s="668">
        <v>0.89700000000000002</v>
      </c>
      <c r="M7" s="40" t="s">
        <v>642</v>
      </c>
    </row>
    <row r="8" spans="1:17">
      <c r="A8" s="660">
        <v>1.4</v>
      </c>
      <c r="B8" s="35" t="s">
        <v>651</v>
      </c>
      <c r="C8" s="35"/>
      <c r="D8" s="35"/>
      <c r="E8" s="35">
        <v>300</v>
      </c>
      <c r="F8" s="40" t="s">
        <v>652</v>
      </c>
    </row>
    <row r="9" spans="1:17">
      <c r="A9" s="660">
        <v>1.5</v>
      </c>
      <c r="B9" s="35" t="s">
        <v>650</v>
      </c>
      <c r="C9" s="35"/>
      <c r="D9" s="35"/>
      <c r="E9" s="661">
        <f>96.9%</f>
        <v>0.96900000000000008</v>
      </c>
      <c r="F9" s="40" t="s">
        <v>642</v>
      </c>
    </row>
    <row r="10" spans="1:17">
      <c r="A10" s="660"/>
      <c r="B10" s="35"/>
      <c r="C10" s="35"/>
      <c r="D10" s="35"/>
      <c r="E10" s="35"/>
      <c r="F10" s="40"/>
    </row>
    <row r="11" spans="1:17">
      <c r="A11" s="660">
        <v>1.6</v>
      </c>
      <c r="B11" s="35" t="s">
        <v>643</v>
      </c>
      <c r="C11" s="35"/>
      <c r="D11" s="35"/>
      <c r="E11" s="64">
        <v>0.90200000000000002</v>
      </c>
      <c r="F11" s="40" t="s">
        <v>642</v>
      </c>
    </row>
    <row r="12" spans="1:17">
      <c r="A12" s="660">
        <v>1.7</v>
      </c>
      <c r="B12" s="35" t="s">
        <v>654</v>
      </c>
      <c r="C12" s="35"/>
      <c r="D12" s="35"/>
      <c r="E12" s="35">
        <v>6700</v>
      </c>
      <c r="F12" s="40" t="s">
        <v>652</v>
      </c>
    </row>
    <row r="13" spans="1:17">
      <c r="A13" s="660">
        <v>1.8</v>
      </c>
      <c r="B13" s="35" t="s">
        <v>644</v>
      </c>
      <c r="C13" s="35"/>
      <c r="D13" s="35"/>
      <c r="E13" s="64">
        <f>35.59/(0.5*3.6+35.59)</f>
        <v>0.95185878577159677</v>
      </c>
      <c r="F13" s="40" t="s">
        <v>642</v>
      </c>
    </row>
    <row r="14" spans="1:17">
      <c r="A14" s="660">
        <v>1.9</v>
      </c>
      <c r="B14" s="35" t="s">
        <v>645</v>
      </c>
      <c r="C14" s="35"/>
      <c r="D14" s="35"/>
      <c r="E14" s="64">
        <f>95.19%</f>
        <v>0.95189999999999997</v>
      </c>
      <c r="F14" s="40" t="s">
        <v>648</v>
      </c>
    </row>
    <row r="15" spans="1:17">
      <c r="A15" s="662">
        <v>1.1000000000000001</v>
      </c>
      <c r="B15" s="35" t="s">
        <v>655</v>
      </c>
      <c r="C15" s="35"/>
      <c r="D15" s="35"/>
      <c r="E15" s="35">
        <v>1500</v>
      </c>
      <c r="F15" s="40" t="s">
        <v>652</v>
      </c>
    </row>
    <row r="16" spans="1:17">
      <c r="A16" s="662">
        <v>1.1100000000000001</v>
      </c>
      <c r="B16" s="35" t="s">
        <v>653</v>
      </c>
      <c r="C16" s="35"/>
      <c r="D16" s="35"/>
      <c r="E16" s="35">
        <f>100</f>
        <v>100</v>
      </c>
      <c r="F16" s="40" t="s">
        <v>652</v>
      </c>
    </row>
    <row r="17" spans="1:22">
      <c r="A17" s="660"/>
      <c r="B17" s="35"/>
      <c r="C17" s="35"/>
      <c r="D17" s="35"/>
      <c r="E17" s="35"/>
      <c r="F17" s="40"/>
    </row>
    <row r="18" spans="1:22" ht="15" thickBot="1">
      <c r="A18" s="663">
        <v>1.1200000000000001</v>
      </c>
      <c r="B18" s="42" t="s">
        <v>656</v>
      </c>
      <c r="C18" s="42"/>
      <c r="D18" s="42"/>
      <c r="E18" s="68">
        <v>0.54200000000000004</v>
      </c>
      <c r="F18" s="43" t="s">
        <v>657</v>
      </c>
    </row>
    <row r="22" spans="1:22" ht="15" thickBot="1">
      <c r="A22" s="533" t="s">
        <v>1086</v>
      </c>
      <c r="B22" s="533" t="s">
        <v>928</v>
      </c>
    </row>
    <row r="23" spans="1:22">
      <c r="A23" s="36">
        <v>1.1000000000000001</v>
      </c>
      <c r="B23" s="664" t="s">
        <v>1061</v>
      </c>
      <c r="C23" s="37"/>
      <c r="D23" s="37"/>
      <c r="E23" s="37">
        <v>8</v>
      </c>
      <c r="F23" s="701" t="s">
        <v>1062</v>
      </c>
      <c r="J23" s="557" t="s">
        <v>717</v>
      </c>
      <c r="K23" s="556"/>
      <c r="L23" s="541"/>
      <c r="M23" s="555" t="s">
        <v>733</v>
      </c>
      <c r="N23" s="563"/>
      <c r="O23" s="563"/>
      <c r="P23" s="563"/>
      <c r="Q23" s="563"/>
      <c r="R23" s="563"/>
      <c r="S23" s="563"/>
      <c r="T23" s="563"/>
      <c r="U23" s="563"/>
      <c r="V23" s="554"/>
    </row>
    <row r="24" spans="1:22">
      <c r="A24" s="39">
        <v>1.2</v>
      </c>
      <c r="B24" s="536" t="s">
        <v>1069</v>
      </c>
      <c r="C24" s="35"/>
      <c r="D24" s="35"/>
      <c r="E24" s="35">
        <v>0.91</v>
      </c>
      <c r="F24" s="40"/>
      <c r="J24" s="555" t="s">
        <v>732</v>
      </c>
      <c r="K24" s="554"/>
      <c r="L24" s="541"/>
      <c r="M24" s="555" t="s">
        <v>728</v>
      </c>
      <c r="N24" s="565">
        <f>O27</f>
        <v>1.1080918884965025</v>
      </c>
      <c r="O24" s="557" t="s">
        <v>731</v>
      </c>
      <c r="P24" s="564"/>
      <c r="Q24" s="564"/>
      <c r="R24" s="564"/>
      <c r="S24" s="564"/>
      <c r="T24" s="556"/>
      <c r="U24" s="563"/>
      <c r="V24" s="554"/>
    </row>
    <row r="25" spans="1:22">
      <c r="A25" s="39">
        <v>1.3</v>
      </c>
      <c r="B25" s="536" t="s">
        <v>1063</v>
      </c>
      <c r="C25" s="35"/>
      <c r="D25" s="35"/>
      <c r="E25" s="415">
        <f>K25</f>
        <v>100.31147622178867</v>
      </c>
      <c r="F25" s="702" t="s">
        <v>1068</v>
      </c>
      <c r="J25" s="553" t="s">
        <v>715</v>
      </c>
      <c r="K25" s="551">
        <f>N29*100</f>
        <v>100.31147622178867</v>
      </c>
      <c r="L25" s="541"/>
      <c r="M25" s="555"/>
      <c r="N25" s="563"/>
      <c r="O25" s="555" t="s">
        <v>730</v>
      </c>
      <c r="P25" s="563"/>
      <c r="Q25" s="563"/>
      <c r="R25" s="563"/>
      <c r="S25" s="563"/>
      <c r="T25" s="554"/>
      <c r="U25" s="563"/>
      <c r="V25" s="554"/>
    </row>
    <row r="26" spans="1:22">
      <c r="A26" s="39">
        <v>1.4</v>
      </c>
      <c r="B26" s="536" t="s">
        <v>1070</v>
      </c>
      <c r="C26" s="35"/>
      <c r="D26" s="35"/>
      <c r="E26" s="415">
        <v>1.05</v>
      </c>
      <c r="F26" s="702"/>
      <c r="J26" s="563"/>
      <c r="K26" s="712"/>
      <c r="L26" s="541"/>
      <c r="M26" s="555"/>
      <c r="N26" s="563"/>
      <c r="O26" s="555"/>
      <c r="P26" s="563"/>
      <c r="Q26" s="563"/>
      <c r="R26" s="563"/>
      <c r="S26" s="563"/>
      <c r="T26" s="554"/>
      <c r="U26" s="563"/>
      <c r="V26" s="554"/>
    </row>
    <row r="27" spans="1:22">
      <c r="A27" s="704">
        <v>1.5</v>
      </c>
      <c r="B27" s="536" t="s">
        <v>1064</v>
      </c>
      <c r="C27" s="35"/>
      <c r="D27" s="35"/>
      <c r="E27" s="361">
        <f>290%*0.85</f>
        <v>2.4649999999999999</v>
      </c>
      <c r="F27" s="40"/>
      <c r="J27" s="541"/>
      <c r="K27" s="541"/>
      <c r="L27" s="541"/>
      <c r="M27" s="555"/>
      <c r="N27" s="563"/>
      <c r="O27" s="562">
        <f>32*35.59/(28*0.835*43.96)</f>
        <v>1.1080918884965025</v>
      </c>
      <c r="P27" s="561"/>
      <c r="Q27" s="561"/>
      <c r="R27" s="561"/>
      <c r="S27" s="561"/>
      <c r="T27" s="560"/>
      <c r="U27" s="563"/>
      <c r="V27" s="554"/>
    </row>
    <row r="28" spans="1:22">
      <c r="A28" s="704">
        <v>1.6</v>
      </c>
      <c r="B28" s="665" t="s">
        <v>1065</v>
      </c>
      <c r="C28" s="35"/>
      <c r="D28" s="35"/>
      <c r="E28" s="415">
        <v>100</v>
      </c>
      <c r="F28" s="702" t="s">
        <v>1068</v>
      </c>
      <c r="J28" s="541"/>
      <c r="K28" s="541"/>
      <c r="L28" s="541"/>
      <c r="M28" s="555" t="s">
        <v>729</v>
      </c>
      <c r="N28" s="563"/>
      <c r="O28" s="563"/>
      <c r="P28" s="563"/>
      <c r="Q28" s="563"/>
      <c r="R28" s="563"/>
      <c r="S28" s="563"/>
      <c r="T28" s="563"/>
      <c r="U28" s="563"/>
      <c r="V28" s="554"/>
    </row>
    <row r="29" spans="1:22" ht="15" thickBot="1">
      <c r="A29" s="705">
        <v>1.7</v>
      </c>
      <c r="B29" s="666" t="s">
        <v>1066</v>
      </c>
      <c r="C29" s="42"/>
      <c r="D29" s="42"/>
      <c r="E29" s="706">
        <v>100</v>
      </c>
      <c r="F29" s="707" t="s">
        <v>1067</v>
      </c>
      <c r="J29" s="541"/>
      <c r="K29" s="541"/>
      <c r="L29" s="541"/>
      <c r="M29" s="555" t="s">
        <v>728</v>
      </c>
      <c r="N29" s="565">
        <f>N24*O31</f>
        <v>1.0031147622178866</v>
      </c>
      <c r="O29" s="563" t="s">
        <v>727</v>
      </c>
      <c r="P29" s="563"/>
      <c r="Q29" s="563"/>
      <c r="R29" s="563"/>
      <c r="S29" s="563"/>
      <c r="T29" s="563"/>
      <c r="U29" s="563"/>
      <c r="V29" s="554"/>
    </row>
    <row r="30" spans="1:22">
      <c r="J30" s="541"/>
      <c r="K30" s="541"/>
      <c r="L30" s="541"/>
      <c r="M30" s="555"/>
      <c r="N30" s="563"/>
      <c r="O30" s="557" t="s">
        <v>726</v>
      </c>
      <c r="P30" s="564"/>
      <c r="Q30" s="564"/>
      <c r="R30" s="564"/>
      <c r="S30" s="564"/>
      <c r="T30" s="564"/>
      <c r="U30" s="564"/>
      <c r="V30" s="556"/>
    </row>
    <row r="31" spans="1:22">
      <c r="J31" s="541"/>
      <c r="K31" s="541"/>
      <c r="L31" s="541"/>
      <c r="M31" s="555"/>
      <c r="N31" s="563"/>
      <c r="O31" s="562">
        <f>1.72/1.9</f>
        <v>0.90526315789473688</v>
      </c>
      <c r="P31" s="561"/>
      <c r="Q31" s="561"/>
      <c r="R31" s="561"/>
      <c r="S31" s="561"/>
      <c r="T31" s="561"/>
      <c r="U31" s="561"/>
      <c r="V31" s="560"/>
    </row>
    <row r="32" spans="1:22">
      <c r="J32" s="541"/>
      <c r="K32" s="541"/>
      <c r="L32" s="541"/>
      <c r="M32" s="553"/>
      <c r="N32" s="561"/>
      <c r="O32" s="561"/>
      <c r="P32" s="561"/>
      <c r="Q32" s="561"/>
      <c r="R32" s="561"/>
      <c r="S32" s="561"/>
      <c r="T32" s="561"/>
      <c r="U32" s="561"/>
      <c r="V32" s="560"/>
    </row>
    <row r="33" spans="1:6" ht="15" thickBot="1">
      <c r="A33" s="533" t="s">
        <v>1115</v>
      </c>
      <c r="B33" s="533" t="s">
        <v>1116</v>
      </c>
    </row>
    <row r="34" spans="1:6">
      <c r="A34" s="36">
        <v>1.1000000000000001</v>
      </c>
      <c r="B34" s="664" t="s">
        <v>1117</v>
      </c>
      <c r="C34" s="37"/>
      <c r="D34" s="37"/>
      <c r="E34" s="447">
        <v>0.80100000000000005</v>
      </c>
      <c r="F34" s="38"/>
    </row>
    <row r="35" spans="1:6">
      <c r="A35" s="39">
        <v>1.2</v>
      </c>
      <c r="B35" s="536" t="s">
        <v>1118</v>
      </c>
      <c r="C35" s="35"/>
      <c r="D35" s="35"/>
      <c r="E35" s="64">
        <v>7.0000000000000001E-3</v>
      </c>
      <c r="F35" s="40"/>
    </row>
    <row r="36" spans="1:6" ht="15" thickBot="1">
      <c r="A36" s="41">
        <v>1.3</v>
      </c>
      <c r="B36" s="703" t="s">
        <v>1119</v>
      </c>
      <c r="C36" s="42"/>
      <c r="D36" s="42"/>
      <c r="E36" s="68">
        <v>1.7999999999999999E-2</v>
      </c>
      <c r="F36" s="43"/>
    </row>
  </sheetData>
  <phoneticPr fontId="40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M11" sqref="M11"/>
    </sheetView>
  </sheetViews>
  <sheetFormatPr defaultColWidth="8.88671875" defaultRowHeight="14.4"/>
  <cols>
    <col min="1" max="2" width="28.88671875" style="541" customWidth="1"/>
    <col min="3" max="3" width="21.88671875" style="541" customWidth="1"/>
    <col min="4" max="4" width="21.6640625" style="541" bestFit="1" customWidth="1"/>
    <col min="5" max="6" width="8.88671875" style="541"/>
    <col min="7" max="7" width="16.44140625" style="605" customWidth="1"/>
    <col min="8" max="8" width="17.44140625" style="605" customWidth="1"/>
    <col min="9" max="16384" width="8.88671875" style="541"/>
  </cols>
  <sheetData>
    <row r="1" spans="1:11" s="585" customFormat="1" ht="57.6">
      <c r="A1" s="621"/>
      <c r="B1" s="621"/>
      <c r="C1" s="671" t="s">
        <v>949</v>
      </c>
      <c r="D1" s="621" t="s">
        <v>821</v>
      </c>
      <c r="E1" s="619" t="s">
        <v>820</v>
      </c>
      <c r="F1" s="619" t="s">
        <v>819</v>
      </c>
      <c r="G1" s="620" t="s">
        <v>818</v>
      </c>
      <c r="H1" s="620" t="s">
        <v>817</v>
      </c>
      <c r="I1" s="619" t="s">
        <v>816</v>
      </c>
    </row>
    <row r="2" spans="1:11" s="585" customFormat="1" ht="28.8">
      <c r="A2" s="621"/>
      <c r="B2" s="621"/>
      <c r="C2" s="671" t="s">
        <v>950</v>
      </c>
      <c r="D2" s="671" t="s">
        <v>951</v>
      </c>
      <c r="E2" s="619"/>
      <c r="F2" s="619"/>
      <c r="G2" s="672" t="s">
        <v>952</v>
      </c>
      <c r="H2" s="672" t="s">
        <v>953</v>
      </c>
      <c r="I2" s="619"/>
    </row>
    <row r="3" spans="1:11">
      <c r="A3" s="614" t="s">
        <v>815</v>
      </c>
      <c r="B3" s="670" t="s">
        <v>930</v>
      </c>
      <c r="C3" s="613">
        <v>1</v>
      </c>
      <c r="D3" s="612">
        <f>1/C3</f>
        <v>1</v>
      </c>
      <c r="E3" s="608">
        <v>42.2</v>
      </c>
      <c r="F3" s="611">
        <v>0.74</v>
      </c>
      <c r="G3" s="610">
        <f>I3*D3/E3</f>
        <v>5.92</v>
      </c>
      <c r="H3" s="618">
        <f>'Key Input'!E23</f>
        <v>8</v>
      </c>
      <c r="I3" s="608">
        <f>H3*F3*E3</f>
        <v>249.82400000000001</v>
      </c>
    </row>
    <row r="4" spans="1:11">
      <c r="A4" s="614" t="s">
        <v>814</v>
      </c>
      <c r="B4" s="670" t="s">
        <v>931</v>
      </c>
      <c r="C4" s="613">
        <f>1/'Key Input'!E26</f>
        <v>0.95238095238095233</v>
      </c>
      <c r="D4" s="612">
        <f>1/C4</f>
        <v>1.05</v>
      </c>
      <c r="E4" s="608">
        <v>43</v>
      </c>
      <c r="F4" s="611"/>
      <c r="G4" s="610">
        <f t="shared" ref="G4:G10" si="0">I4*D4/E4</f>
        <v>6.1003534883720931</v>
      </c>
      <c r="H4" s="610">
        <f>I4*D4/38.9</f>
        <v>6.7433213367609257</v>
      </c>
      <c r="I4" s="608">
        <f t="shared" ref="I4:I26" si="1">I3</f>
        <v>249.82400000000001</v>
      </c>
    </row>
    <row r="5" spans="1:11">
      <c r="A5" s="614" t="s">
        <v>813</v>
      </c>
      <c r="B5" s="670" t="s">
        <v>932</v>
      </c>
      <c r="C5" s="613">
        <f>1/D5*100</f>
        <v>99.689490940099418</v>
      </c>
      <c r="D5" s="612">
        <f>'Key Input'!K25/100</f>
        <v>1.0031147622178866</v>
      </c>
      <c r="E5" s="608">
        <v>43</v>
      </c>
      <c r="F5" s="611"/>
      <c r="G5" s="610">
        <f t="shared" si="0"/>
        <v>5.8279567989842169</v>
      </c>
      <c r="H5" s="610"/>
      <c r="I5" s="608">
        <f t="shared" si="1"/>
        <v>249.82400000000001</v>
      </c>
    </row>
    <row r="6" spans="1:11">
      <c r="A6" s="614" t="s">
        <v>812</v>
      </c>
      <c r="B6" s="670" t="s">
        <v>933</v>
      </c>
      <c r="C6" s="613">
        <v>1</v>
      </c>
      <c r="D6" s="612">
        <f>1/C6</f>
        <v>1</v>
      </c>
      <c r="E6" s="608">
        <v>50.2</v>
      </c>
      <c r="F6" s="611">
        <v>0.54</v>
      </c>
      <c r="G6" s="610">
        <f t="shared" si="0"/>
        <v>4.9765737051792831</v>
      </c>
      <c r="H6" s="610">
        <f>G6/F6</f>
        <v>9.2158772318134865</v>
      </c>
      <c r="I6" s="608">
        <f t="shared" si="1"/>
        <v>249.82400000000001</v>
      </c>
    </row>
    <row r="7" spans="1:11">
      <c r="A7" s="614" t="s">
        <v>811</v>
      </c>
      <c r="B7" s="670" t="s">
        <v>934</v>
      </c>
      <c r="C7" s="613">
        <v>1.0700000524520874</v>
      </c>
      <c r="D7" s="612">
        <f>1/C7</f>
        <v>0.93457939343865415</v>
      </c>
      <c r="E7" s="608">
        <v>19.7</v>
      </c>
      <c r="F7" s="611">
        <v>0.79500000000000004</v>
      </c>
      <c r="G7" s="610">
        <f t="shared" si="0"/>
        <v>11.851795044995855</v>
      </c>
      <c r="H7" s="610">
        <f>G7/F7</f>
        <v>14.907918295592269</v>
      </c>
      <c r="I7" s="608">
        <f t="shared" si="1"/>
        <v>249.82400000000001</v>
      </c>
    </row>
    <row r="8" spans="1:11">
      <c r="A8" s="614" t="s">
        <v>810</v>
      </c>
      <c r="B8" s="670" t="s">
        <v>935</v>
      </c>
      <c r="C8" s="613">
        <v>1</v>
      </c>
      <c r="D8" s="612">
        <f>1/C8</f>
        <v>1</v>
      </c>
      <c r="E8" s="608">
        <f>E7</f>
        <v>19.7</v>
      </c>
      <c r="F8" s="611">
        <f>F7</f>
        <v>0.79500000000000004</v>
      </c>
      <c r="G8" s="610">
        <f t="shared" si="0"/>
        <v>12.681421319796955</v>
      </c>
      <c r="H8" s="610">
        <f>G8/F8</f>
        <v>15.951473358235162</v>
      </c>
      <c r="I8" s="608">
        <f t="shared" si="1"/>
        <v>249.82400000000001</v>
      </c>
    </row>
    <row r="9" spans="1:11">
      <c r="A9" s="614" t="s">
        <v>809</v>
      </c>
      <c r="B9" s="670" t="s">
        <v>936</v>
      </c>
      <c r="C9" s="613">
        <v>1.0700000524520874</v>
      </c>
      <c r="D9" s="612">
        <f>1/C9</f>
        <v>0.93457939343865415</v>
      </c>
      <c r="E9" s="608">
        <v>27</v>
      </c>
      <c r="F9" s="611">
        <v>0.79</v>
      </c>
      <c r="G9" s="610">
        <f t="shared" si="0"/>
        <v>8.6474208291266041</v>
      </c>
      <c r="H9" s="610">
        <f>G9/F9</f>
        <v>10.946102315350132</v>
      </c>
      <c r="I9" s="608">
        <f t="shared" si="1"/>
        <v>249.82400000000001</v>
      </c>
    </row>
    <row r="10" spans="1:11">
      <c r="A10" s="614" t="s">
        <v>808</v>
      </c>
      <c r="B10" s="670" t="s">
        <v>937</v>
      </c>
      <c r="C10" s="613">
        <v>1</v>
      </c>
      <c r="D10" s="612">
        <f>1/C10</f>
        <v>1</v>
      </c>
      <c r="E10" s="608">
        <f>E9</f>
        <v>27</v>
      </c>
      <c r="F10" s="611">
        <f>F9</f>
        <v>0.79</v>
      </c>
      <c r="G10" s="610">
        <f t="shared" si="0"/>
        <v>9.2527407407407409</v>
      </c>
      <c r="H10" s="610">
        <f>G10/F10</f>
        <v>11.712330051570557</v>
      </c>
      <c r="I10" s="608">
        <f t="shared" si="1"/>
        <v>249.82400000000001</v>
      </c>
    </row>
    <row r="11" spans="1:11">
      <c r="A11" s="614"/>
      <c r="B11" s="614"/>
      <c r="C11" s="613"/>
      <c r="D11" s="612"/>
      <c r="E11" s="608"/>
      <c r="F11" s="611"/>
      <c r="G11" s="610"/>
      <c r="H11" s="610"/>
      <c r="I11" s="608">
        <f t="shared" si="1"/>
        <v>249.82400000000001</v>
      </c>
    </row>
    <row r="12" spans="1:11">
      <c r="A12" s="614" t="s">
        <v>807</v>
      </c>
      <c r="B12" s="670" t="s">
        <v>938</v>
      </c>
      <c r="C12" s="613">
        <v>1.2000000476837158</v>
      </c>
      <c r="D12" s="612">
        <f>1/C12</f>
        <v>0.83333330021964314</v>
      </c>
      <c r="E12" s="608">
        <v>121</v>
      </c>
      <c r="F12" s="611"/>
      <c r="G12" s="610">
        <f>I12*D12/E12</f>
        <v>1.7205508958187781</v>
      </c>
      <c r="H12" s="610"/>
      <c r="I12" s="608">
        <f t="shared" si="1"/>
        <v>249.82400000000001</v>
      </c>
    </row>
    <row r="13" spans="1:11">
      <c r="A13" s="614"/>
      <c r="B13" s="614"/>
      <c r="C13" s="614"/>
      <c r="D13" s="614"/>
      <c r="E13" s="608"/>
      <c r="F13" s="611"/>
      <c r="G13" s="610"/>
      <c r="H13" s="610"/>
      <c r="I13" s="608">
        <f t="shared" si="1"/>
        <v>249.82400000000001</v>
      </c>
    </row>
    <row r="14" spans="1:11">
      <c r="A14" s="614" t="s">
        <v>806</v>
      </c>
      <c r="B14" s="670" t="s">
        <v>940</v>
      </c>
      <c r="C14" s="615">
        <v>1.4300000190734801</v>
      </c>
      <c r="D14" s="612">
        <f>1/C14</f>
        <v>0.69930068997335815</v>
      </c>
      <c r="E14" s="608">
        <f>E3</f>
        <v>42.2</v>
      </c>
      <c r="F14" s="611">
        <f>F3</f>
        <v>0.74</v>
      </c>
      <c r="G14" s="610">
        <f>I14*D14/E14</f>
        <v>4.1398600846422804</v>
      </c>
      <c r="H14" s="610">
        <f>G14/F14</f>
        <v>5.5944055197868652</v>
      </c>
      <c r="I14" s="608">
        <f t="shared" si="1"/>
        <v>249.82400000000001</v>
      </c>
      <c r="K14" s="541" t="s">
        <v>805</v>
      </c>
    </row>
    <row r="15" spans="1:11">
      <c r="A15" s="614" t="s">
        <v>804</v>
      </c>
      <c r="B15" s="670" t="s">
        <v>941</v>
      </c>
      <c r="C15" s="613">
        <v>1.6000000238418579</v>
      </c>
      <c r="D15" s="612">
        <f>1/C15</f>
        <v>0.62499999068677436</v>
      </c>
      <c r="E15" s="608">
        <v>121</v>
      </c>
      <c r="F15" s="611"/>
      <c r="G15" s="610">
        <f>I15*D15/E15</f>
        <v>1.2904132039118406</v>
      </c>
      <c r="H15" s="610"/>
      <c r="I15" s="608">
        <f t="shared" si="1"/>
        <v>249.82400000000001</v>
      </c>
      <c r="J15" s="541">
        <f>D15/D12</f>
        <v>0.75000001862645116</v>
      </c>
      <c r="K15" s="541" t="s">
        <v>803</v>
      </c>
    </row>
    <row r="16" spans="1:11">
      <c r="A16" s="614"/>
      <c r="B16" s="614"/>
      <c r="C16" s="614"/>
      <c r="D16" s="612"/>
      <c r="E16" s="608"/>
      <c r="F16" s="611"/>
      <c r="G16" s="610"/>
      <c r="H16" s="610"/>
      <c r="I16" s="608">
        <f t="shared" si="1"/>
        <v>249.82400000000001</v>
      </c>
    </row>
    <row r="17" spans="1:11">
      <c r="A17" s="614" t="s">
        <v>802</v>
      </c>
      <c r="B17" s="670" t="s">
        <v>942</v>
      </c>
      <c r="C17" s="613">
        <f>1/'Key Input'!E24</f>
        <v>1.0989010989010988</v>
      </c>
      <c r="D17" s="617">
        <f>1/C17</f>
        <v>0.91000000000000014</v>
      </c>
      <c r="E17" s="608">
        <v>42.7</v>
      </c>
      <c r="F17" s="611">
        <v>0.84</v>
      </c>
      <c r="G17" s="610">
        <f>I17*D17/E17</f>
        <v>5.3241180327868856</v>
      </c>
      <c r="H17" s="610">
        <f>G17/F17</f>
        <v>6.3382357533177212</v>
      </c>
      <c r="I17" s="608">
        <f t="shared" si="1"/>
        <v>249.82400000000001</v>
      </c>
    </row>
    <row r="18" spans="1:11">
      <c r="A18" s="614" t="s">
        <v>801</v>
      </c>
      <c r="B18" s="670" t="s">
        <v>943</v>
      </c>
      <c r="C18" s="616">
        <f>C17</f>
        <v>1.0989010989010988</v>
      </c>
      <c r="D18" s="612">
        <f>1/C18</f>
        <v>0.91000000000000014</v>
      </c>
      <c r="E18" s="608">
        <v>28.4</v>
      </c>
      <c r="F18" s="611">
        <f>F17</f>
        <v>0.84</v>
      </c>
      <c r="G18" s="610">
        <f>I18*D18/E18</f>
        <v>8.0049239436619732</v>
      </c>
      <c r="H18" s="610">
        <f>G18/F18</f>
        <v>9.5296713615023503</v>
      </c>
      <c r="I18" s="608">
        <f t="shared" si="1"/>
        <v>249.82400000000001</v>
      </c>
    </row>
    <row r="19" spans="1:11">
      <c r="A19" s="614" t="s">
        <v>800</v>
      </c>
      <c r="B19" s="670" t="s">
        <v>944</v>
      </c>
      <c r="C19" s="616">
        <f>C18</f>
        <v>1.0989010989010988</v>
      </c>
      <c r="D19" s="612">
        <f>1/C19</f>
        <v>0.91000000000000014</v>
      </c>
      <c r="E19" s="608">
        <f>E17</f>
        <v>42.7</v>
      </c>
      <c r="F19" s="611">
        <f>F17</f>
        <v>0.84</v>
      </c>
      <c r="G19" s="610">
        <f>I19*D19/E19</f>
        <v>5.3241180327868856</v>
      </c>
      <c r="H19" s="610">
        <f>G19/F19</f>
        <v>6.3382357533177212</v>
      </c>
      <c r="I19" s="608">
        <f t="shared" si="1"/>
        <v>249.82400000000001</v>
      </c>
    </row>
    <row r="20" spans="1:11">
      <c r="A20" s="614" t="s">
        <v>799</v>
      </c>
      <c r="B20" s="670" t="s">
        <v>945</v>
      </c>
      <c r="C20" s="615">
        <v>1.6</v>
      </c>
      <c r="D20" s="612">
        <f>1/C20</f>
        <v>0.625</v>
      </c>
      <c r="E20" s="608">
        <f>E17</f>
        <v>42.7</v>
      </c>
      <c r="F20" s="611">
        <f>F17</f>
        <v>0.84</v>
      </c>
      <c r="G20" s="610">
        <f>I20*D20/E20</f>
        <v>3.6566744730679157</v>
      </c>
      <c r="H20" s="610">
        <f>G20/F20</f>
        <v>4.3531838965094236</v>
      </c>
      <c r="I20" s="608">
        <f t="shared" si="1"/>
        <v>249.82400000000001</v>
      </c>
      <c r="K20" s="541" t="str">
        <f>K14</f>
        <v>Oil save 30%</v>
      </c>
    </row>
    <row r="21" spans="1:11">
      <c r="A21" s="614"/>
      <c r="B21" s="614"/>
      <c r="C21" s="614"/>
      <c r="D21" s="612"/>
      <c r="E21" s="608"/>
      <c r="F21" s="608"/>
      <c r="G21" s="610"/>
      <c r="H21" s="609"/>
      <c r="I21" s="608">
        <f t="shared" si="1"/>
        <v>249.82400000000001</v>
      </c>
    </row>
    <row r="22" spans="1:11">
      <c r="A22" s="614" t="s">
        <v>798</v>
      </c>
      <c r="B22" s="670" t="s">
        <v>946</v>
      </c>
      <c r="C22" s="613">
        <f>'Key Input'!E27</f>
        <v>2.4649999999999999</v>
      </c>
      <c r="D22" s="612">
        <f>1/C22</f>
        <v>0.40567951318458423</v>
      </c>
      <c r="E22" s="608"/>
      <c r="F22" s="608"/>
      <c r="G22" s="610"/>
      <c r="H22" s="610">
        <f>I22*D22/3.6</f>
        <v>28.152355194951546</v>
      </c>
      <c r="I22" s="608">
        <f t="shared" si="1"/>
        <v>249.82400000000001</v>
      </c>
    </row>
    <row r="23" spans="1:11">
      <c r="A23" s="614" t="s">
        <v>797</v>
      </c>
      <c r="B23" s="670" t="s">
        <v>947</v>
      </c>
      <c r="C23" s="613">
        <f>C22</f>
        <v>2.4649999999999999</v>
      </c>
      <c r="D23" s="612">
        <f>1/C23</f>
        <v>0.40567951318458423</v>
      </c>
      <c r="E23" s="608"/>
      <c r="F23" s="608"/>
      <c r="G23" s="610"/>
      <c r="H23" s="610">
        <f>I23*D23/3.6</f>
        <v>28.152355194951546</v>
      </c>
      <c r="I23" s="608">
        <f t="shared" si="1"/>
        <v>249.82400000000001</v>
      </c>
    </row>
    <row r="24" spans="1:11">
      <c r="A24" s="614" t="s">
        <v>796</v>
      </c>
      <c r="B24" s="670" t="s">
        <v>948</v>
      </c>
      <c r="C24" s="613">
        <f>C14</f>
        <v>1.4300000190734801</v>
      </c>
      <c r="D24" s="612">
        <f>1/C24</f>
        <v>0.69930068997335815</v>
      </c>
      <c r="E24" s="608">
        <f>E14</f>
        <v>42.2</v>
      </c>
      <c r="F24" s="608">
        <f>F14</f>
        <v>0.74</v>
      </c>
      <c r="G24" s="610">
        <f>I24*D24/E24</f>
        <v>4.1398600846422804</v>
      </c>
      <c r="H24" s="610">
        <f>G24/F24</f>
        <v>5.5944055197868652</v>
      </c>
      <c r="I24" s="608">
        <f t="shared" si="1"/>
        <v>249.82400000000001</v>
      </c>
    </row>
    <row r="25" spans="1:11">
      <c r="A25" s="614"/>
      <c r="B25" s="614"/>
      <c r="C25" s="614"/>
      <c r="D25" s="612"/>
      <c r="E25" s="608"/>
      <c r="F25" s="608"/>
      <c r="G25" s="610"/>
      <c r="H25" s="609"/>
      <c r="I25" s="608">
        <f t="shared" si="1"/>
        <v>249.82400000000001</v>
      </c>
    </row>
    <row r="26" spans="1:11">
      <c r="A26" s="614" t="s">
        <v>795</v>
      </c>
      <c r="B26" s="670" t="s">
        <v>939</v>
      </c>
      <c r="C26" s="613">
        <v>2.2999999523162802</v>
      </c>
      <c r="D26" s="612">
        <f>1/C26</f>
        <v>0.43478261770958804</v>
      </c>
      <c r="E26" s="608">
        <v>121</v>
      </c>
      <c r="F26" s="611"/>
      <c r="G26" s="610">
        <f>I26*D26/E26</f>
        <v>0.89767878253454658</v>
      </c>
      <c r="H26" s="609"/>
      <c r="I26" s="608">
        <f t="shared" si="1"/>
        <v>249.82400000000001</v>
      </c>
    </row>
    <row r="27" spans="1:11">
      <c r="D27" s="607"/>
    </row>
    <row r="29" spans="1:11">
      <c r="D29" s="606"/>
    </row>
  </sheetData>
  <phoneticPr fontId="60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"/>
  <sheetViews>
    <sheetView workbookViewId="0">
      <pane xSplit="1" ySplit="2" topLeftCell="AM201" activePane="bottomRight" state="frozen"/>
      <selection sqref="A1:H26"/>
      <selection pane="topRight" sqref="A1:H26"/>
      <selection pane="bottomLeft" sqref="A1:H26"/>
      <selection pane="bottomRight" activeCell="AY218" sqref="AY218"/>
    </sheetView>
  </sheetViews>
  <sheetFormatPr defaultColWidth="8.88671875" defaultRowHeight="14.4"/>
  <cols>
    <col min="1" max="1" width="32.44140625" style="541" bestFit="1" customWidth="1"/>
    <col min="2" max="2" width="32.44140625" style="541" customWidth="1"/>
    <col min="3" max="3" width="13.6640625" style="541" customWidth="1"/>
    <col min="4" max="4" width="26.77734375" style="541" customWidth="1"/>
    <col min="5" max="5" width="21.44140625" style="646" customWidth="1"/>
    <col min="6" max="6" width="10.109375" style="646" bestFit="1" customWidth="1"/>
    <col min="7" max="7" width="15.88671875" style="646" bestFit="1" customWidth="1"/>
    <col min="8" max="8" width="21.44140625" style="646" bestFit="1" customWidth="1"/>
    <col min="9" max="9" width="13.77734375" style="626" bestFit="1" customWidth="1"/>
    <col min="10" max="17" width="9.44140625" style="541" customWidth="1"/>
    <col min="18" max="19" width="6.6640625" style="626" customWidth="1"/>
    <col min="20" max="23" width="7.44140625" style="627" customWidth="1"/>
    <col min="24" max="24" width="8.88671875" style="626"/>
    <col min="25" max="26" width="8.88671875" style="541"/>
    <col min="27" max="27" width="10.109375" style="541" customWidth="1"/>
    <col min="28" max="28" width="8.88671875" style="541"/>
    <col min="29" max="29" width="17.44140625" style="625" customWidth="1"/>
    <col min="30" max="30" width="8.88671875" style="566"/>
    <col min="31" max="31" width="8.88671875" style="541"/>
    <col min="32" max="32" width="8.88671875" style="624"/>
    <col min="33" max="34" width="8.88671875" style="623"/>
    <col min="35" max="35" width="9.6640625" style="622" customWidth="1"/>
    <col min="36" max="37" width="8.88671875" style="566"/>
    <col min="38" max="38" width="10.33203125" style="541" customWidth="1"/>
    <col min="39" max="39" width="8.88671875" style="541"/>
    <col min="40" max="40" width="11" style="541" customWidth="1"/>
    <col min="41" max="16384" width="8.88671875" style="541"/>
  </cols>
  <sheetData>
    <row r="1" spans="1:41" s="585" customFormat="1" ht="86.4">
      <c r="C1" s="585" t="s">
        <v>922</v>
      </c>
      <c r="D1" s="585" t="s">
        <v>921</v>
      </c>
      <c r="E1" s="676" t="s">
        <v>920</v>
      </c>
      <c r="F1" s="676" t="s">
        <v>919</v>
      </c>
      <c r="G1" s="676" t="s">
        <v>918</v>
      </c>
      <c r="H1" s="676" t="s">
        <v>917</v>
      </c>
      <c r="I1" s="657" t="s">
        <v>956</v>
      </c>
      <c r="J1" s="585" t="s">
        <v>907</v>
      </c>
      <c r="K1" s="585" t="s">
        <v>906</v>
      </c>
      <c r="L1" s="585" t="s">
        <v>916</v>
      </c>
      <c r="M1" s="585" t="s">
        <v>915</v>
      </c>
      <c r="N1" s="585" t="s">
        <v>914</v>
      </c>
      <c r="R1" s="657" t="s">
        <v>910</v>
      </c>
      <c r="S1" s="657"/>
      <c r="T1" s="658" t="s">
        <v>913</v>
      </c>
      <c r="U1" s="658" t="s">
        <v>1006</v>
      </c>
      <c r="V1" s="658" t="s">
        <v>1007</v>
      </c>
      <c r="W1" s="658" t="s">
        <v>1008</v>
      </c>
      <c r="X1" s="657" t="s">
        <v>912</v>
      </c>
      <c r="Y1" s="657" t="s">
        <v>1009</v>
      </c>
      <c r="Z1" s="657" t="s">
        <v>1011</v>
      </c>
      <c r="AA1" s="657" t="s">
        <v>1010</v>
      </c>
      <c r="AC1" s="656" t="s">
        <v>911</v>
      </c>
      <c r="AD1" s="655" t="s">
        <v>177</v>
      </c>
      <c r="AE1" s="585" t="s">
        <v>910</v>
      </c>
      <c r="AF1" s="654" t="s">
        <v>909</v>
      </c>
      <c r="AG1" s="652" t="s">
        <v>907</v>
      </c>
      <c r="AH1" s="652" t="s">
        <v>906</v>
      </c>
      <c r="AI1" s="653" t="s">
        <v>908</v>
      </c>
      <c r="AJ1" s="652" t="s">
        <v>907</v>
      </c>
      <c r="AK1" s="652" t="s">
        <v>906</v>
      </c>
      <c r="AL1" s="585" t="s">
        <v>905</v>
      </c>
      <c r="AN1" s="585" t="s">
        <v>904</v>
      </c>
    </row>
    <row r="2" spans="1:41">
      <c r="C2" s="673" t="s">
        <v>957</v>
      </c>
      <c r="D2" s="673" t="s">
        <v>958</v>
      </c>
      <c r="E2" s="646" t="s">
        <v>959</v>
      </c>
      <c r="F2" s="646" t="s">
        <v>960</v>
      </c>
      <c r="G2" s="646" t="s">
        <v>961</v>
      </c>
      <c r="H2" s="646" t="s">
        <v>962</v>
      </c>
      <c r="I2" s="626" t="s">
        <v>963</v>
      </c>
      <c r="J2" s="673" t="s">
        <v>964</v>
      </c>
      <c r="K2" s="673" t="s">
        <v>965</v>
      </c>
      <c r="L2" s="673" t="s">
        <v>966</v>
      </c>
      <c r="M2" s="673" t="s">
        <v>967</v>
      </c>
      <c r="N2" s="541" t="s">
        <v>903</v>
      </c>
      <c r="R2" s="626" t="s">
        <v>9</v>
      </c>
      <c r="T2" s="627" t="s">
        <v>902</v>
      </c>
      <c r="U2" s="627" t="s">
        <v>902</v>
      </c>
      <c r="V2" s="627" t="s">
        <v>902</v>
      </c>
      <c r="W2" s="627" t="s">
        <v>902</v>
      </c>
      <c r="X2" s="626" t="s">
        <v>9</v>
      </c>
      <c r="Y2" s="626" t="s">
        <v>9</v>
      </c>
      <c r="Z2" s="626" t="s">
        <v>9</v>
      </c>
      <c r="AA2" s="626" t="s">
        <v>1012</v>
      </c>
      <c r="AD2" s="566" t="s">
        <v>901</v>
      </c>
      <c r="AE2" s="541" t="s">
        <v>178</v>
      </c>
      <c r="AF2" s="624" t="s">
        <v>900</v>
      </c>
      <c r="AI2" s="622" t="s">
        <v>899</v>
      </c>
    </row>
    <row r="3" spans="1:41">
      <c r="A3" s="541" t="s">
        <v>898</v>
      </c>
      <c r="B3" s="673" t="s">
        <v>968</v>
      </c>
      <c r="C3" s="541">
        <f>'vehicle summary'!G3</f>
        <v>8</v>
      </c>
      <c r="E3" s="646" t="s">
        <v>892</v>
      </c>
      <c r="G3" s="650">
        <v>0.88</v>
      </c>
      <c r="I3" s="643">
        <f>'LC factor'!Q10</f>
        <v>78.241901405908948</v>
      </c>
      <c r="J3" s="638">
        <v>0.05</v>
      </c>
      <c r="K3" s="638">
        <v>0.05</v>
      </c>
      <c r="L3" s="566">
        <f t="shared" ref="L3:L10" si="0">I3*J3</f>
        <v>3.9120950702954476</v>
      </c>
      <c r="M3" s="566">
        <f t="shared" ref="M3:M10" si="1">I3*K3</f>
        <v>3.9120950702954476</v>
      </c>
      <c r="N3" s="677">
        <f t="shared" ref="N3:N10" si="2">I3</f>
        <v>78.241901405908948</v>
      </c>
      <c r="R3" s="645">
        <f>X3-'Oil-based'!R13</f>
        <v>22.252385014002272</v>
      </c>
      <c r="S3" s="645"/>
      <c r="T3" s="627">
        <f t="shared" ref="T3:T10" si="3">1/I3*100</f>
        <v>1.2780875490386261</v>
      </c>
      <c r="U3" s="627">
        <f>'Oil-based'!S7</f>
        <v>1.1590675130146362</v>
      </c>
      <c r="V3" s="627">
        <f>'Oil-based'!S6</f>
        <v>5.5081223048659728E-2</v>
      </c>
      <c r="W3" s="627">
        <f>'Oil-based'!S5</f>
        <v>7.9129761096503326E-2</v>
      </c>
      <c r="X3" s="645">
        <f>'Oil-based'!S13</f>
        <v>92.166981014002275</v>
      </c>
      <c r="Y3" s="645">
        <f>'Oil-based'!S10</f>
        <v>88.947134165076463</v>
      </c>
      <c r="Z3" s="645">
        <f>'Oil-based'!S11</f>
        <v>0.12876452667252705</v>
      </c>
      <c r="AA3" s="688">
        <f>'Oil-based'!S12</f>
        <v>2.4620205121950976E-3</v>
      </c>
      <c r="AC3" s="625">
        <v>1</v>
      </c>
      <c r="AD3" s="566">
        <f>42.5*0.74*C3/100*AC3</f>
        <v>2.516</v>
      </c>
      <c r="AF3" s="624">
        <f>T3*AD3</f>
        <v>3.2156682733811834</v>
      </c>
      <c r="AG3" s="623">
        <f t="shared" ref="AG3:AG10" si="4">K3/(1-K3)*AF3</f>
        <v>0.16924569859900968</v>
      </c>
      <c r="AH3" s="623">
        <f t="shared" ref="AH3:AH10" si="5">AF3*J3/(1-J3)</f>
        <v>0.16924569859900968</v>
      </c>
      <c r="AI3" s="622">
        <f t="shared" ref="AI3:AI10" si="6">X3*AD3</f>
        <v>231.89212423122973</v>
      </c>
      <c r="AJ3" s="566">
        <f>K3/(1-K3)*AI3</f>
        <v>12.204848643748933</v>
      </c>
      <c r="AK3" s="566">
        <f>AI3*J3/(1-J3)</f>
        <v>12.204848643748935</v>
      </c>
    </row>
    <row r="4" spans="1:41">
      <c r="A4" s="541" t="s">
        <v>897</v>
      </c>
      <c r="B4" s="673" t="s">
        <v>970</v>
      </c>
      <c r="C4" s="541">
        <v>7.7</v>
      </c>
      <c r="D4" s="673" t="s">
        <v>975</v>
      </c>
      <c r="G4" s="650"/>
      <c r="I4" s="643">
        <f>I3</f>
        <v>78.241901405908948</v>
      </c>
      <c r="J4" s="638">
        <v>0.05</v>
      </c>
      <c r="K4" s="638">
        <v>0.05</v>
      </c>
      <c r="L4" s="566">
        <f t="shared" si="0"/>
        <v>3.9120950702954476</v>
      </c>
      <c r="M4" s="566">
        <f t="shared" si="1"/>
        <v>3.9120950702954476</v>
      </c>
      <c r="N4" s="677">
        <f t="shared" si="2"/>
        <v>78.241901405908948</v>
      </c>
      <c r="R4" s="626">
        <f>R3</f>
        <v>22.252385014002272</v>
      </c>
      <c r="T4" s="627">
        <f t="shared" si="3"/>
        <v>1.2780875490386261</v>
      </c>
      <c r="U4" s="645">
        <f t="shared" ref="U4:W8" si="7">U3</f>
        <v>1.1590675130146362</v>
      </c>
      <c r="V4" s="645">
        <f t="shared" si="7"/>
        <v>5.5081223048659728E-2</v>
      </c>
      <c r="W4" s="645">
        <f t="shared" si="7"/>
        <v>7.9129761096503326E-2</v>
      </c>
      <c r="X4" s="645">
        <f>X3</f>
        <v>92.166981014002275</v>
      </c>
      <c r="Y4" s="645">
        <f t="shared" ref="Y4:AA8" si="8">Y3</f>
        <v>88.947134165076463</v>
      </c>
      <c r="Z4" s="645">
        <f t="shared" si="8"/>
        <v>0.12876452667252705</v>
      </c>
      <c r="AA4" s="688">
        <f t="shared" si="8"/>
        <v>2.4620205121950976E-3</v>
      </c>
      <c r="AC4" s="625">
        <v>1</v>
      </c>
      <c r="AD4" s="566">
        <f t="shared" ref="AD4:AD8" si="9">42.5*0.74*C4/100*AC4</f>
        <v>2.4216500000000001</v>
      </c>
      <c r="AF4" s="624">
        <f t="shared" ref="AF4:AF10" si="10">T4*AD4</f>
        <v>3.0950807131293891</v>
      </c>
      <c r="AG4" s="623">
        <f t="shared" si="4"/>
        <v>0.16289898490154681</v>
      </c>
      <c r="AH4" s="623">
        <f t="shared" si="5"/>
        <v>0.16289898490154683</v>
      </c>
      <c r="AI4" s="622">
        <f t="shared" si="6"/>
        <v>223.1961695725586</v>
      </c>
      <c r="AJ4" s="566">
        <f t="shared" ref="AJ4:AJ10" si="11">K4/(1-K4)*AI4</f>
        <v>11.747166819608349</v>
      </c>
      <c r="AK4" s="566">
        <f t="shared" ref="AK4:AK10" si="12">AI4*J4/(1-J4)</f>
        <v>11.747166819608347</v>
      </c>
    </row>
    <row r="5" spans="1:41">
      <c r="A5" s="541" t="s">
        <v>896</v>
      </c>
      <c r="B5" s="673" t="s">
        <v>971</v>
      </c>
      <c r="C5" s="541">
        <v>8.1999999999999993</v>
      </c>
      <c r="D5" s="673" t="s">
        <v>976</v>
      </c>
      <c r="G5" s="650"/>
      <c r="I5" s="643">
        <f>I4</f>
        <v>78.241901405908948</v>
      </c>
      <c r="J5" s="638">
        <v>0.05</v>
      </c>
      <c r="K5" s="638">
        <v>0.05</v>
      </c>
      <c r="L5" s="566">
        <f t="shared" si="0"/>
        <v>3.9120950702954476</v>
      </c>
      <c r="M5" s="566">
        <f t="shared" si="1"/>
        <v>3.9120950702954476</v>
      </c>
      <c r="N5" s="677">
        <f t="shared" si="2"/>
        <v>78.241901405908948</v>
      </c>
      <c r="R5" s="626">
        <f>R4</f>
        <v>22.252385014002272</v>
      </c>
      <c r="T5" s="627">
        <f t="shared" si="3"/>
        <v>1.2780875490386261</v>
      </c>
      <c r="U5" s="645">
        <f t="shared" si="7"/>
        <v>1.1590675130146362</v>
      </c>
      <c r="V5" s="645">
        <f t="shared" si="7"/>
        <v>5.5081223048659728E-2</v>
      </c>
      <c r="W5" s="645">
        <f t="shared" si="7"/>
        <v>7.9129761096503326E-2</v>
      </c>
      <c r="X5" s="645">
        <f t="shared" ref="X5:X8" si="13">X4</f>
        <v>92.166981014002275</v>
      </c>
      <c r="Y5" s="645">
        <f t="shared" si="8"/>
        <v>88.947134165076463</v>
      </c>
      <c r="Z5" s="645">
        <f t="shared" si="8"/>
        <v>0.12876452667252705</v>
      </c>
      <c r="AA5" s="688">
        <f t="shared" si="8"/>
        <v>2.4620205121950976E-3</v>
      </c>
      <c r="AC5" s="625">
        <v>1</v>
      </c>
      <c r="AD5" s="566">
        <f t="shared" si="9"/>
        <v>2.5789</v>
      </c>
      <c r="AF5" s="624">
        <f t="shared" si="10"/>
        <v>3.2960599802157127</v>
      </c>
      <c r="AG5" s="623">
        <f t="shared" si="4"/>
        <v>0.17347684106398489</v>
      </c>
      <c r="AH5" s="623">
        <f t="shared" si="5"/>
        <v>0.17347684106398492</v>
      </c>
      <c r="AI5" s="622">
        <f t="shared" si="6"/>
        <v>237.68942733701047</v>
      </c>
      <c r="AJ5" s="566">
        <f t="shared" si="11"/>
        <v>12.509969859842657</v>
      </c>
      <c r="AK5" s="566">
        <f t="shared" si="12"/>
        <v>12.509969859842657</v>
      </c>
    </row>
    <row r="6" spans="1:41">
      <c r="A6" s="541" t="s">
        <v>895</v>
      </c>
      <c r="B6" s="673" t="s">
        <v>972</v>
      </c>
      <c r="C6" s="541">
        <v>5.7</v>
      </c>
      <c r="D6" s="673" t="s">
        <v>977</v>
      </c>
      <c r="G6" s="650"/>
      <c r="I6" s="643">
        <f>I5</f>
        <v>78.241901405908948</v>
      </c>
      <c r="J6" s="638">
        <v>0.05</v>
      </c>
      <c r="K6" s="638">
        <v>0.05</v>
      </c>
      <c r="L6" s="566">
        <f t="shared" si="0"/>
        <v>3.9120950702954476</v>
      </c>
      <c r="M6" s="566">
        <f t="shared" si="1"/>
        <v>3.9120950702954476</v>
      </c>
      <c r="N6" s="677">
        <f t="shared" si="2"/>
        <v>78.241901405908948</v>
      </c>
      <c r="R6" s="626">
        <f>R5</f>
        <v>22.252385014002272</v>
      </c>
      <c r="T6" s="627">
        <f t="shared" si="3"/>
        <v>1.2780875490386261</v>
      </c>
      <c r="U6" s="645">
        <f t="shared" si="7"/>
        <v>1.1590675130146362</v>
      </c>
      <c r="V6" s="645">
        <f t="shared" si="7"/>
        <v>5.5081223048659728E-2</v>
      </c>
      <c r="W6" s="645">
        <f t="shared" si="7"/>
        <v>7.9129761096503326E-2</v>
      </c>
      <c r="X6" s="645">
        <f t="shared" si="13"/>
        <v>92.166981014002275</v>
      </c>
      <c r="Y6" s="645">
        <f t="shared" si="8"/>
        <v>88.947134165076463</v>
      </c>
      <c r="Z6" s="645">
        <f t="shared" si="8"/>
        <v>0.12876452667252705</v>
      </c>
      <c r="AA6" s="688">
        <f t="shared" si="8"/>
        <v>2.4620205121950976E-3</v>
      </c>
      <c r="AC6" s="625">
        <v>1</v>
      </c>
      <c r="AD6" s="566">
        <f t="shared" si="9"/>
        <v>1.7926500000000001</v>
      </c>
      <c r="AF6" s="624">
        <f t="shared" si="10"/>
        <v>2.2911636447840933</v>
      </c>
      <c r="AG6" s="623">
        <f t="shared" si="4"/>
        <v>0.12058756025179439</v>
      </c>
      <c r="AH6" s="623">
        <f t="shared" si="5"/>
        <v>0.12058756025179439</v>
      </c>
      <c r="AI6" s="622">
        <f t="shared" si="6"/>
        <v>165.22313851475118</v>
      </c>
      <c r="AJ6" s="566">
        <f t="shared" si="11"/>
        <v>8.6959546586711163</v>
      </c>
      <c r="AK6" s="566">
        <f t="shared" si="12"/>
        <v>8.6959546586711145</v>
      </c>
    </row>
    <row r="7" spans="1:41">
      <c r="A7" s="541" t="s">
        <v>894</v>
      </c>
      <c r="B7" s="673" t="s">
        <v>973</v>
      </c>
      <c r="C7" s="541">
        <v>5.9</v>
      </c>
      <c r="D7" s="673" t="s">
        <v>978</v>
      </c>
      <c r="G7" s="650"/>
      <c r="I7" s="643">
        <f>I6</f>
        <v>78.241901405908948</v>
      </c>
      <c r="J7" s="638">
        <v>0.05</v>
      </c>
      <c r="K7" s="638">
        <v>0.05</v>
      </c>
      <c r="L7" s="566">
        <f t="shared" si="0"/>
        <v>3.9120950702954476</v>
      </c>
      <c r="M7" s="566">
        <f t="shared" si="1"/>
        <v>3.9120950702954476</v>
      </c>
      <c r="N7" s="677">
        <f t="shared" si="2"/>
        <v>78.241901405908948</v>
      </c>
      <c r="R7" s="626">
        <f>R6</f>
        <v>22.252385014002272</v>
      </c>
      <c r="T7" s="627">
        <f t="shared" si="3"/>
        <v>1.2780875490386261</v>
      </c>
      <c r="U7" s="645">
        <f t="shared" si="7"/>
        <v>1.1590675130146362</v>
      </c>
      <c r="V7" s="645">
        <f t="shared" si="7"/>
        <v>5.5081223048659728E-2</v>
      </c>
      <c r="W7" s="645">
        <f t="shared" si="7"/>
        <v>7.9129761096503326E-2</v>
      </c>
      <c r="X7" s="645">
        <f t="shared" si="13"/>
        <v>92.166981014002275</v>
      </c>
      <c r="Y7" s="645">
        <f t="shared" si="8"/>
        <v>88.947134165076463</v>
      </c>
      <c r="Z7" s="645">
        <f t="shared" si="8"/>
        <v>0.12876452667252705</v>
      </c>
      <c r="AA7" s="688">
        <f t="shared" si="8"/>
        <v>2.4620205121950976E-3</v>
      </c>
      <c r="AC7" s="625">
        <v>1</v>
      </c>
      <c r="AD7" s="566">
        <f t="shared" si="9"/>
        <v>1.85555</v>
      </c>
      <c r="AF7" s="624">
        <f t="shared" si="10"/>
        <v>2.3715553516186225</v>
      </c>
      <c r="AG7" s="623">
        <f t="shared" si="4"/>
        <v>0.12481870271676962</v>
      </c>
      <c r="AH7" s="623">
        <f t="shared" si="5"/>
        <v>0.12481870271676962</v>
      </c>
      <c r="AI7" s="622">
        <f t="shared" si="6"/>
        <v>171.02044162053193</v>
      </c>
      <c r="AJ7" s="566">
        <f t="shared" si="11"/>
        <v>9.0010758747648385</v>
      </c>
      <c r="AK7" s="566">
        <f t="shared" si="12"/>
        <v>9.0010758747648385</v>
      </c>
    </row>
    <row r="8" spans="1:41">
      <c r="A8" s="541" t="s">
        <v>893</v>
      </c>
      <c r="B8" s="673" t="s">
        <v>974</v>
      </c>
      <c r="C8" s="541">
        <v>4.5</v>
      </c>
      <c r="D8" s="673" t="s">
        <v>979</v>
      </c>
      <c r="G8" s="650"/>
      <c r="I8" s="643">
        <f>I7</f>
        <v>78.241901405908948</v>
      </c>
      <c r="J8" s="638">
        <v>0.05</v>
      </c>
      <c r="K8" s="638">
        <v>0.05</v>
      </c>
      <c r="L8" s="566">
        <f t="shared" si="0"/>
        <v>3.9120950702954476</v>
      </c>
      <c r="M8" s="566">
        <f t="shared" si="1"/>
        <v>3.9120950702954476</v>
      </c>
      <c r="N8" s="677">
        <f t="shared" si="2"/>
        <v>78.241901405908948</v>
      </c>
      <c r="R8" s="626">
        <f>R7</f>
        <v>22.252385014002272</v>
      </c>
      <c r="T8" s="627">
        <f t="shared" si="3"/>
        <v>1.2780875490386261</v>
      </c>
      <c r="U8" s="645">
        <f t="shared" si="7"/>
        <v>1.1590675130146362</v>
      </c>
      <c r="V8" s="645">
        <f t="shared" si="7"/>
        <v>5.5081223048659728E-2</v>
      </c>
      <c r="W8" s="645">
        <f t="shared" si="7"/>
        <v>7.9129761096503326E-2</v>
      </c>
      <c r="X8" s="645">
        <f t="shared" si="13"/>
        <v>92.166981014002275</v>
      </c>
      <c r="Y8" s="645">
        <f t="shared" si="8"/>
        <v>88.947134165076463</v>
      </c>
      <c r="Z8" s="645">
        <f t="shared" si="8"/>
        <v>0.12876452667252705</v>
      </c>
      <c r="AA8" s="688">
        <f t="shared" si="8"/>
        <v>2.4620205121950976E-3</v>
      </c>
      <c r="AC8" s="625">
        <v>1</v>
      </c>
      <c r="AD8" s="566">
        <f t="shared" si="9"/>
        <v>1.4152500000000001</v>
      </c>
      <c r="AF8" s="624">
        <f t="shared" si="10"/>
        <v>1.8088134037769157</v>
      </c>
      <c r="AG8" s="623">
        <f t="shared" si="4"/>
        <v>9.5200705461942939E-2</v>
      </c>
      <c r="AH8" s="623">
        <f t="shared" si="5"/>
        <v>9.5200705461942939E-2</v>
      </c>
      <c r="AI8" s="622">
        <f t="shared" si="6"/>
        <v>130.43931988006673</v>
      </c>
      <c r="AJ8" s="566">
        <f t="shared" si="11"/>
        <v>6.8652273621087758</v>
      </c>
      <c r="AK8" s="566">
        <f t="shared" si="12"/>
        <v>6.8652273621087767</v>
      </c>
    </row>
    <row r="9" spans="1:41">
      <c r="A9" s="541" t="s">
        <v>802</v>
      </c>
      <c r="B9" s="673" t="s">
        <v>969</v>
      </c>
      <c r="E9" s="646" t="s">
        <v>892</v>
      </c>
      <c r="G9" s="650">
        <v>0.89</v>
      </c>
      <c r="I9" s="643">
        <f>'LC factor'!Q9</f>
        <v>78.796389312663322</v>
      </c>
      <c r="J9" s="638">
        <v>0.05</v>
      </c>
      <c r="K9" s="638">
        <v>0.05</v>
      </c>
      <c r="L9" s="566">
        <f t="shared" si="0"/>
        <v>3.9398194656331662</v>
      </c>
      <c r="M9" s="566">
        <f t="shared" si="1"/>
        <v>3.9398194656331662</v>
      </c>
      <c r="N9" s="677">
        <f t="shared" si="2"/>
        <v>78.796389312663322</v>
      </c>
      <c r="R9" s="645">
        <f>X9-'Oil-based'!Z13</f>
        <v>18.325840748864039</v>
      </c>
      <c r="S9" s="645"/>
      <c r="T9" s="627">
        <f t="shared" si="3"/>
        <v>1.2690936840164206</v>
      </c>
      <c r="U9" s="627">
        <f>'Oil-based'!K7</f>
        <v>1.152312289405754</v>
      </c>
      <c r="V9" s="627">
        <f>'Oil-based'!K6</f>
        <v>5.4182950731419544E-2</v>
      </c>
      <c r="W9" s="627">
        <f>'Oil-based'!K5</f>
        <v>7.685694773301005E-2</v>
      </c>
      <c r="X9" s="645">
        <f>'Oil-based'!K13</f>
        <v>94.195174082197369</v>
      </c>
      <c r="Y9" s="645">
        <f>'Oil-based'!K10</f>
        <v>92.896083303133082</v>
      </c>
      <c r="Z9" s="645">
        <f>'Oil-based'!K11</f>
        <v>5.16244534799956E-2</v>
      </c>
      <c r="AA9" s="688">
        <f>'Oil-based'!K12</f>
        <v>2.8454503571824399E-2</v>
      </c>
      <c r="AC9" s="625">
        <f>'PTW( for chart)'!D17</f>
        <v>0.91000000000000014</v>
      </c>
      <c r="AD9" s="566">
        <f>42.5*0.74*8/100*AC9</f>
        <v>2.2895600000000003</v>
      </c>
      <c r="AF9" s="624">
        <f t="shared" si="10"/>
        <v>2.9056661351766362</v>
      </c>
      <c r="AG9" s="623">
        <f t="shared" si="4"/>
        <v>0.15292979658824402</v>
      </c>
      <c r="AH9" s="623">
        <f t="shared" si="5"/>
        <v>0.15292979658824402</v>
      </c>
      <c r="AI9" s="622">
        <f t="shared" si="6"/>
        <v>215.66550277163583</v>
      </c>
      <c r="AJ9" s="566">
        <f t="shared" si="11"/>
        <v>11.350815935349255</v>
      </c>
      <c r="AK9" s="566">
        <f t="shared" si="12"/>
        <v>11.350815935349257</v>
      </c>
    </row>
    <row r="10" spans="1:41" s="646" customFormat="1">
      <c r="A10" s="649" t="s">
        <v>812</v>
      </c>
      <c r="B10" s="649"/>
      <c r="C10" s="649"/>
      <c r="D10" s="649"/>
      <c r="E10" s="646" t="s">
        <v>892</v>
      </c>
      <c r="G10" s="650">
        <v>0.92</v>
      </c>
      <c r="I10" s="651">
        <v>78.84</v>
      </c>
      <c r="J10" s="650">
        <v>0.05</v>
      </c>
      <c r="K10" s="650">
        <v>0.05</v>
      </c>
      <c r="L10" s="648">
        <f t="shared" si="0"/>
        <v>3.9420000000000002</v>
      </c>
      <c r="M10" s="648">
        <f t="shared" si="1"/>
        <v>3.9420000000000002</v>
      </c>
      <c r="N10" s="678">
        <f t="shared" si="2"/>
        <v>78.84</v>
      </c>
      <c r="O10" s="649"/>
      <c r="P10" s="649"/>
      <c r="Q10" s="649"/>
      <c r="R10" s="646">
        <v>26.9</v>
      </c>
      <c r="T10" s="648">
        <f t="shared" si="3"/>
        <v>1.2683916793505834</v>
      </c>
      <c r="U10" s="648"/>
      <c r="V10" s="648"/>
      <c r="W10" s="648"/>
      <c r="X10" s="646">
        <f>R10+63.6</f>
        <v>90.5</v>
      </c>
      <c r="AC10" s="647">
        <v>1</v>
      </c>
      <c r="AD10" s="648">
        <f>42.5*0.74*8/100*AC10</f>
        <v>2.516</v>
      </c>
      <c r="AF10" s="647">
        <f t="shared" si="10"/>
        <v>3.1912734652460677</v>
      </c>
      <c r="AG10" s="647">
        <f t="shared" si="4"/>
        <v>0.16796176132874041</v>
      </c>
      <c r="AH10" s="647">
        <f t="shared" si="5"/>
        <v>0.16796176132874041</v>
      </c>
      <c r="AI10" s="648">
        <f t="shared" si="6"/>
        <v>227.69800000000001</v>
      </c>
      <c r="AJ10" s="648">
        <f t="shared" si="11"/>
        <v>11.984105263157897</v>
      </c>
      <c r="AK10" s="648">
        <f t="shared" si="12"/>
        <v>11.984105263157897</v>
      </c>
      <c r="AL10" s="647">
        <f>AF10-AF3</f>
        <v>-2.4394808135115742E-2</v>
      </c>
      <c r="AM10" s="647">
        <f>AI10-AI3</f>
        <v>-4.194124231229722</v>
      </c>
    </row>
    <row r="11" spans="1:41">
      <c r="G11" s="650"/>
      <c r="I11" s="643"/>
      <c r="N11" s="677"/>
    </row>
    <row r="12" spans="1:41">
      <c r="A12" s="541" t="s">
        <v>814</v>
      </c>
      <c r="B12" s="673" t="s">
        <v>980</v>
      </c>
      <c r="E12" s="646" t="s">
        <v>883</v>
      </c>
      <c r="F12" s="646" t="s">
        <v>891</v>
      </c>
      <c r="G12" s="674">
        <v>0.96899999999999997</v>
      </c>
      <c r="H12" s="646" t="s">
        <v>890</v>
      </c>
      <c r="I12" s="643">
        <f>'NG-based'!U17*100</f>
        <v>82.545460622211507</v>
      </c>
      <c r="J12" s="638">
        <v>0.1</v>
      </c>
      <c r="K12" s="638">
        <v>0.1</v>
      </c>
      <c r="L12" s="566">
        <f>I12*J12</f>
        <v>8.2545460622211504</v>
      </c>
      <c r="M12" s="566">
        <f>I12*K12</f>
        <v>8.2545460622211504</v>
      </c>
      <c r="N12" s="677">
        <f>I12</f>
        <v>82.545460622211507</v>
      </c>
      <c r="R12" s="626">
        <v>15.487267358105996</v>
      </c>
      <c r="T12" s="627">
        <f>1/I12*100</f>
        <v>1.2114536553096875</v>
      </c>
      <c r="U12" s="627">
        <f>'NG-based'!U15/1000</f>
        <v>7.5396556387621796E-3</v>
      </c>
      <c r="V12" s="627">
        <f>'NG-based'!U14/1000</f>
        <v>1.1236802529092145</v>
      </c>
      <c r="W12" s="627">
        <f>'NG-based'!U13/1000</f>
        <v>8.0233746761710939E-2</v>
      </c>
      <c r="X12" s="645">
        <f>'NG-based'!U21</f>
        <v>73.402892731134273</v>
      </c>
      <c r="Y12" s="645">
        <f>'NG-based'!M18</f>
        <v>64.673323858903444</v>
      </c>
      <c r="Z12" s="645">
        <f>'NG-based'!M19</f>
        <v>8.4603286490818025E-2</v>
      </c>
      <c r="AA12" s="688">
        <f>'NG-based'!M20</f>
        <v>1.7208486638556142E-7</v>
      </c>
      <c r="AC12" s="625">
        <f>'PTW( for chart)'!D4</f>
        <v>1.05</v>
      </c>
      <c r="AD12" s="566">
        <f>42.5*0.74*8/100*AC12</f>
        <v>2.6417999999999999</v>
      </c>
      <c r="AF12" s="624">
        <f>T12*AD12</f>
        <v>3.2004182665971324</v>
      </c>
      <c r="AG12" s="623">
        <f>K12/(1-K12)*AF12</f>
        <v>0.35560202962190363</v>
      </c>
      <c r="AH12" s="623">
        <f>AF12*J12/(1-J12)</f>
        <v>0.35560202962190363</v>
      </c>
      <c r="AI12" s="622">
        <f>X12*AD12</f>
        <v>193.91576201711052</v>
      </c>
      <c r="AJ12" s="566">
        <f>K12/(1-K12)*AI12</f>
        <v>21.54619577967895</v>
      </c>
      <c r="AK12" s="566">
        <f>AI12*J12/(1-J12)</f>
        <v>21.54619577967895</v>
      </c>
      <c r="AL12" s="623">
        <f>AF12-AF3</f>
        <v>-1.5250006784051084E-2</v>
      </c>
      <c r="AM12" s="623">
        <f>AI12-AI3</f>
        <v>-37.976362214119206</v>
      </c>
    </row>
    <row r="13" spans="1:41">
      <c r="A13" s="541" t="s">
        <v>889</v>
      </c>
      <c r="B13" s="673" t="s">
        <v>981</v>
      </c>
      <c r="E13" s="646" t="s">
        <v>883</v>
      </c>
      <c r="F13" s="646" t="s">
        <v>888</v>
      </c>
      <c r="G13" s="674">
        <v>0.90200000000000002</v>
      </c>
      <c r="H13" s="646" t="s">
        <v>887</v>
      </c>
      <c r="I13" s="643">
        <f>'NG-based'!AE17*100</f>
        <v>77.814965062909096</v>
      </c>
      <c r="J13" s="638">
        <v>0.05</v>
      </c>
      <c r="K13" s="638">
        <v>0.05</v>
      </c>
      <c r="L13" s="566">
        <f>I13*J13</f>
        <v>3.8907482531454551</v>
      </c>
      <c r="M13" s="566">
        <f>I13*K13</f>
        <v>3.8907482531454551</v>
      </c>
      <c r="N13" s="677">
        <f>I13</f>
        <v>77.814965062909096</v>
      </c>
      <c r="R13" s="626">
        <v>18.023559625520548</v>
      </c>
      <c r="T13" s="627">
        <f>1/I13*100</f>
        <v>1.2850998508982885</v>
      </c>
      <c r="U13" s="627">
        <f>'NG-based'!AE15/1000</f>
        <v>3.9834975800798998E-2</v>
      </c>
      <c r="V13" s="627">
        <f>'NG-based'!AE14/1000</f>
        <v>1.2286916117785331</v>
      </c>
      <c r="W13" s="627">
        <f>'NG-based'!AE13/1000</f>
        <v>1.6573263318956328E-2</v>
      </c>
      <c r="X13" s="645">
        <f>'NG-based'!AE21</f>
        <v>76.135711530771573</v>
      </c>
      <c r="Y13" s="645">
        <f>'NG-based'!AE18</f>
        <v>73.744037062545146</v>
      </c>
      <c r="Z13" s="645">
        <f>'NG-based'!AE19</f>
        <v>9.566697501725531E-2</v>
      </c>
      <c r="AA13" s="688">
        <f>'NG-based'!AE20</f>
        <v>3.1139277780253222E-7</v>
      </c>
      <c r="AC13" s="625">
        <f>'PTW( for chart)'!D5</f>
        <v>1.0031147622178866</v>
      </c>
      <c r="AD13" s="566">
        <f>42.5*0.74*8/100*AC13</f>
        <v>2.5238367417402028</v>
      </c>
      <c r="AF13" s="624">
        <f>T13*AD13</f>
        <v>3.2433822205019567</v>
      </c>
      <c r="AG13" s="623">
        <f>K13/(1-K13)*AF13</f>
        <v>0.17070432739483984</v>
      </c>
      <c r="AH13" s="623">
        <f>AF13*J13/(1-J13)</f>
        <v>0.17070432739483984</v>
      </c>
      <c r="AI13" s="622">
        <f>X13*AD13</f>
        <v>192.15410611989452</v>
      </c>
      <c r="AJ13" s="566">
        <f>K13/(1-K13)*AI13</f>
        <v>10.113374006310238</v>
      </c>
      <c r="AK13" s="566">
        <f>AI13*J13/(1-J13)</f>
        <v>10.11337400631024</v>
      </c>
      <c r="AL13" s="623">
        <f>AF13-AF3</f>
        <v>2.7713947120773241E-2</v>
      </c>
      <c r="AM13" s="623">
        <f>AI13-AI3</f>
        <v>-39.738018111335208</v>
      </c>
    </row>
    <row r="14" spans="1:41">
      <c r="A14" s="541" t="s">
        <v>886</v>
      </c>
      <c r="B14" s="673" t="s">
        <v>983</v>
      </c>
      <c r="G14" s="674"/>
      <c r="I14" s="643">
        <f>'NG-based'!AM17*100</f>
        <v>78.993972528487618</v>
      </c>
      <c r="J14" s="638">
        <v>0.05</v>
      </c>
      <c r="K14" s="638">
        <v>0.05</v>
      </c>
      <c r="L14" s="566">
        <f>I14*J14</f>
        <v>3.949698626424381</v>
      </c>
      <c r="M14" s="566">
        <f>I14*K14</f>
        <v>3.949698626424381</v>
      </c>
      <c r="N14" s="677">
        <f>I14</f>
        <v>78.993972528487618</v>
      </c>
      <c r="R14" s="626">
        <v>19.78331487561239</v>
      </c>
      <c r="T14" s="627">
        <f>1/I14*100</f>
        <v>1.2659193707967653</v>
      </c>
      <c r="U14" s="627">
        <f>'NG-based'!AM15/1000</f>
        <v>1.4712838894018941E-2</v>
      </c>
      <c r="V14" s="627">
        <f>'NG-based'!AM14/1000</f>
        <v>1.124158314403064</v>
      </c>
      <c r="W14" s="627">
        <f>'NG-based'!AM13/1000</f>
        <v>0.12704821749968212</v>
      </c>
      <c r="X14" s="645">
        <f>'NG-based'!AM21</f>
        <v>78.948904840744902</v>
      </c>
      <c r="Y14" s="645">
        <f>'NG-based'!AM18</f>
        <v>75.630920765781454</v>
      </c>
      <c r="Z14" s="645">
        <f>'NG-based'!AM19</f>
        <v>0.1327193591576061</v>
      </c>
      <c r="AA14" s="688">
        <f>'NG-based'!AM20</f>
        <v>3.2222581805808371E-7</v>
      </c>
      <c r="AC14" s="625">
        <f>AC13</f>
        <v>1.0031147622178866</v>
      </c>
      <c r="AD14" s="566">
        <f>42.5*0.74*8/100*AC14</f>
        <v>2.5238367417402028</v>
      </c>
      <c r="AF14" s="624">
        <f>T14*AD14</f>
        <v>3.1949738200975157</v>
      </c>
      <c r="AG14" s="623">
        <f>K14/(1-K14)*AF14</f>
        <v>0.16815651684723767</v>
      </c>
      <c r="AH14" s="623">
        <f>AF14*J14/(1-J14)</f>
        <v>0.16815651684723767</v>
      </c>
      <c r="AI14" s="622">
        <f>X14*AD14</f>
        <v>199.25414675722294</v>
      </c>
      <c r="AJ14" s="566">
        <f>K14/(1-K14)*AI14</f>
        <v>10.487060355643314</v>
      </c>
      <c r="AK14" s="566">
        <f>AI14*J14/(1-J14)</f>
        <v>10.487060355643314</v>
      </c>
      <c r="AL14" s="623">
        <f>AF14-AF3</f>
        <v>-2.0694453283667702E-2</v>
      </c>
      <c r="AM14" s="623">
        <f>AI14-AI3</f>
        <v>-32.637977474006789</v>
      </c>
    </row>
    <row r="15" spans="1:41">
      <c r="A15" s="541" t="s">
        <v>885</v>
      </c>
      <c r="B15" s="673" t="s">
        <v>984</v>
      </c>
      <c r="G15" s="674"/>
      <c r="I15" s="643">
        <f>'NG-based'!AW17*100</f>
        <v>78.061416575177788</v>
      </c>
      <c r="J15" s="638">
        <v>0.05</v>
      </c>
      <c r="K15" s="638">
        <v>0.05</v>
      </c>
      <c r="L15" s="566">
        <f>I15*J15</f>
        <v>3.9030708287588896</v>
      </c>
      <c r="M15" s="566">
        <f>I15*K15</f>
        <v>3.9030708287588896</v>
      </c>
      <c r="N15" s="677">
        <f>I15</f>
        <v>78.061416575177788</v>
      </c>
      <c r="R15" s="626">
        <v>20.770428224020321</v>
      </c>
      <c r="T15" s="627">
        <f>1/I15*100</f>
        <v>1.2810425993703822</v>
      </c>
      <c r="U15" s="627">
        <f>'NG-based'!AW15/1000</f>
        <v>1.5301205711839329E-2</v>
      </c>
      <c r="V15" s="627">
        <f>'NG-based'!AW14/1000</f>
        <v>1.13550796537333</v>
      </c>
      <c r="W15" s="627">
        <f>'NG-based'!AW13/1000</f>
        <v>0.13023342828521278</v>
      </c>
      <c r="X15" s="645">
        <f>'NG-based'!AW21</f>
        <v>79.95083254710957</v>
      </c>
      <c r="Y15" s="645">
        <f>'NG-based'!AW18</f>
        <v>76.579526369947217</v>
      </c>
      <c r="Z15" s="645">
        <f>'NG-based'!AW19</f>
        <v>0.13485224302295773</v>
      </c>
      <c r="AA15" s="688">
        <f>'NG-based'!AW20</f>
        <v>3.4090073126808391E-7</v>
      </c>
      <c r="AC15" s="625">
        <f>AC14</f>
        <v>1.0031147622178866</v>
      </c>
      <c r="AD15" s="566">
        <f>42.5*0.74*8/100*AC15</f>
        <v>2.5238367417402028</v>
      </c>
      <c r="AF15" s="624">
        <f>T15*AD15</f>
        <v>3.2331423800253454</v>
      </c>
      <c r="AG15" s="623">
        <f>K15/(1-K15)*AF15</f>
        <v>0.1701653884223866</v>
      </c>
      <c r="AH15" s="623">
        <f>AF15*J15/(1-J15)</f>
        <v>0.17016538842238663</v>
      </c>
      <c r="AI15" s="622">
        <f>X15*AD15</f>
        <v>201.78284871511357</v>
      </c>
      <c r="AJ15" s="566">
        <f>K15/(1-K15)*AI15</f>
        <v>10.6201499323744</v>
      </c>
      <c r="AK15" s="566">
        <f>AI15*J15/(1-J15)</f>
        <v>10.6201499323744</v>
      </c>
      <c r="AL15" s="623">
        <f>AF15-AF3</f>
        <v>1.7474106644161935E-2</v>
      </c>
      <c r="AM15" s="623">
        <f>AI15-AI3</f>
        <v>-30.109275516116156</v>
      </c>
    </row>
    <row r="16" spans="1:41">
      <c r="A16" s="541" t="s">
        <v>884</v>
      </c>
      <c r="B16" s="673" t="s">
        <v>982</v>
      </c>
      <c r="E16" s="646" t="s">
        <v>883</v>
      </c>
      <c r="F16" s="646" t="s">
        <v>882</v>
      </c>
      <c r="G16" s="674">
        <v>0.54200000000000004</v>
      </c>
      <c r="H16" s="646" t="s">
        <v>867</v>
      </c>
      <c r="I16" s="643">
        <v>46.811742883249842</v>
      </c>
      <c r="J16" s="638">
        <v>0.15</v>
      </c>
      <c r="K16" s="638">
        <v>0.15</v>
      </c>
      <c r="L16" s="566">
        <f>I16*J16</f>
        <v>7.0217614324874758</v>
      </c>
      <c r="M16" s="566">
        <f>I16*K16</f>
        <v>7.0217614324874758</v>
      </c>
      <c r="N16" s="677">
        <f>I16</f>
        <v>46.811742883249842</v>
      </c>
      <c r="R16" s="626">
        <v>70.521023141759159</v>
      </c>
      <c r="T16" s="627">
        <f>1/I16*100</f>
        <v>2.1362161252872718</v>
      </c>
      <c r="U16" s="627">
        <f>'NG-based'!BG15/1000</f>
        <v>0.10144858152696959</v>
      </c>
      <c r="V16" s="627">
        <f>'NG-based'!BG14/1000</f>
        <v>3.1059880069929036</v>
      </c>
      <c r="W16" s="627">
        <f>'NG-based'!BG13/1000</f>
        <v>9.3004387641140621E-2</v>
      </c>
      <c r="X16" s="645">
        <f>'NG-based'!BG21</f>
        <v>214.30389057678369</v>
      </c>
      <c r="Y16" s="645">
        <f>'NG-based'!BG18</f>
        <v>207.08052579033654</v>
      </c>
      <c r="Z16" s="645">
        <f>'NG-based'!BG19</f>
        <v>0.28893450542969262</v>
      </c>
      <c r="AA16" s="688">
        <f>'NG-based'!BG20</f>
        <v>7.2171302040191749E-6</v>
      </c>
      <c r="AC16" s="625">
        <f>AC9</f>
        <v>0.91000000000000014</v>
      </c>
      <c r="AD16" s="566">
        <f>42.5*0.74*8/100*AC16</f>
        <v>2.2895600000000003</v>
      </c>
      <c r="AF16" s="624">
        <f>T16*AD16</f>
        <v>4.8909949918127262</v>
      </c>
      <c r="AG16" s="623">
        <f>K16/(1-K16)*AF16</f>
        <v>0.86311676326106934</v>
      </c>
      <c r="AH16" s="623">
        <f>AF16*J16/(1-J16)</f>
        <v>0.86311676326106934</v>
      </c>
      <c r="AI16" s="622">
        <f>X16*AD16</f>
        <v>490.66161570898089</v>
      </c>
      <c r="AJ16" s="566">
        <f>K16/(1-K16)*AI16</f>
        <v>86.587343948643692</v>
      </c>
      <c r="AK16" s="566">
        <f>AI16*J16/(1-J16)</f>
        <v>86.587343948643692</v>
      </c>
      <c r="AL16" s="623">
        <f>AF16-AF3</f>
        <v>1.6753267184315428</v>
      </c>
      <c r="AM16" s="623">
        <f>AG16-AG3</f>
        <v>0.69387106466205961</v>
      </c>
      <c r="AN16" s="623">
        <f>AF16-AF9</f>
        <v>1.98532885663609</v>
      </c>
      <c r="AO16" s="623">
        <f>AI16-AI9</f>
        <v>274.99611293734506</v>
      </c>
    </row>
    <row r="17" spans="1:41">
      <c r="G17" s="674"/>
      <c r="I17" s="643"/>
      <c r="N17" s="677"/>
    </row>
    <row r="18" spans="1:41" s="628" customFormat="1">
      <c r="A18" s="628" t="s">
        <v>881</v>
      </c>
      <c r="E18" s="674" t="s">
        <v>869</v>
      </c>
      <c r="F18" s="646" t="s">
        <v>878</v>
      </c>
      <c r="G18" s="650">
        <v>0.50219999999999998</v>
      </c>
      <c r="H18" s="646" t="s">
        <v>873</v>
      </c>
      <c r="I18" s="642">
        <v>44.9</v>
      </c>
      <c r="J18" s="644">
        <v>0.2</v>
      </c>
      <c r="K18" s="644">
        <v>0.15</v>
      </c>
      <c r="L18" s="629">
        <f>I18*J18</f>
        <v>8.98</v>
      </c>
      <c r="M18" s="629">
        <f>I18*K18</f>
        <v>6.7349999999999994</v>
      </c>
      <c r="N18" s="679">
        <f>I18</f>
        <v>44.9</v>
      </c>
      <c r="R18" s="634">
        <v>189.8</v>
      </c>
      <c r="S18" s="634"/>
      <c r="T18" s="633">
        <f>1/I18*100</f>
        <v>2.2271714922048997</v>
      </c>
      <c r="U18" s="633"/>
      <c r="V18" s="633"/>
      <c r="W18" s="633"/>
      <c r="X18" s="634">
        <f>R18+69.8</f>
        <v>259.60000000000002</v>
      </c>
      <c r="AC18" s="641">
        <f>'PTW( for chart)'!D9</f>
        <v>0.93457939343865415</v>
      </c>
      <c r="AD18" s="629">
        <f>42.5*0.74*8/100*AC18</f>
        <v>2.3514017538916541</v>
      </c>
      <c r="AF18" s="630">
        <f>T18*AD18</f>
        <v>5.2369749529880938</v>
      </c>
      <c r="AG18" s="630">
        <f>K18/(1-K18)*AF18</f>
        <v>0.92417205052731077</v>
      </c>
      <c r="AH18" s="630">
        <f>AF18*J18/(1-J18)</f>
        <v>1.3092437382470234</v>
      </c>
      <c r="AI18" s="629">
        <f>X18*AD18</f>
        <v>610.42389531027345</v>
      </c>
      <c r="AJ18" s="629">
        <f>K18/(1-K18)*AI18</f>
        <v>107.72186387828356</v>
      </c>
      <c r="AK18" s="629">
        <f>AI18*J18/(1-J18)</f>
        <v>152.60597382756836</v>
      </c>
      <c r="AL18" s="630">
        <f>AF18-AF3</f>
        <v>2.0213066796069104</v>
      </c>
      <c r="AM18" s="630">
        <f>AI18-AI3</f>
        <v>378.53177107904372</v>
      </c>
    </row>
    <row r="19" spans="1:41" s="628" customFormat="1">
      <c r="A19" s="628" t="s">
        <v>880</v>
      </c>
      <c r="E19" s="674" t="s">
        <v>869</v>
      </c>
      <c r="F19" s="646" t="s">
        <v>878</v>
      </c>
      <c r="G19" s="674">
        <v>0.47460000000000002</v>
      </c>
      <c r="H19" s="646" t="s">
        <v>867</v>
      </c>
      <c r="I19" s="642">
        <v>42.45</v>
      </c>
      <c r="J19" s="644">
        <v>0.2</v>
      </c>
      <c r="K19" s="644">
        <v>0.15</v>
      </c>
      <c r="L19" s="629">
        <f>I19*J19</f>
        <v>8.49</v>
      </c>
      <c r="M19" s="629">
        <f>I19*K19</f>
        <v>6.3675000000000006</v>
      </c>
      <c r="N19" s="679">
        <f>I19</f>
        <v>42.45</v>
      </c>
      <c r="R19" s="634">
        <v>206.9</v>
      </c>
      <c r="S19" s="634"/>
      <c r="T19" s="633">
        <f>1/I19*100</f>
        <v>2.3557126030624262</v>
      </c>
      <c r="U19" s="633"/>
      <c r="V19" s="633"/>
      <c r="W19" s="633"/>
      <c r="X19" s="634">
        <f>R19+67.5</f>
        <v>274.39999999999998</v>
      </c>
      <c r="AC19" s="641">
        <f>'PTW( for chart)'!D18</f>
        <v>0.91000000000000014</v>
      </c>
      <c r="AD19" s="629">
        <f>42.5*0.74*8/100*AC19</f>
        <v>2.2895600000000003</v>
      </c>
      <c r="AF19" s="630">
        <f>T19*AD19</f>
        <v>5.3935453474676089</v>
      </c>
      <c r="AG19" s="630">
        <f>K19/(1-K19)*AF19</f>
        <v>0.9518021201413428</v>
      </c>
      <c r="AH19" s="630">
        <f>AF19*J19/(1-J19)</f>
        <v>1.348386336866902</v>
      </c>
      <c r="AI19" s="629">
        <f>X19*AD19</f>
        <v>628.25526400000001</v>
      </c>
      <c r="AJ19" s="629">
        <f>K19/(1-K19)*AI19</f>
        <v>110.868576</v>
      </c>
      <c r="AK19" s="629">
        <f>AI19*J19/(1-J19)</f>
        <v>157.063816</v>
      </c>
      <c r="AN19" s="630">
        <f>AF19-AF9</f>
        <v>2.4878792122909728</v>
      </c>
      <c r="AO19" s="630">
        <f>AI19-AI9</f>
        <v>412.58976122836418</v>
      </c>
    </row>
    <row r="20" spans="1:41">
      <c r="A20" s="541" t="s">
        <v>879</v>
      </c>
      <c r="B20" s="673" t="s">
        <v>985</v>
      </c>
      <c r="E20" s="674" t="s">
        <v>869</v>
      </c>
      <c r="F20" s="646" t="s">
        <v>878</v>
      </c>
      <c r="G20" s="674">
        <v>0.50309999999999999</v>
      </c>
      <c r="H20" s="646" t="s">
        <v>867</v>
      </c>
      <c r="I20" s="643">
        <f>CtL!R8</f>
        <v>37.232648442593145</v>
      </c>
      <c r="J20" s="638">
        <v>0.15</v>
      </c>
      <c r="K20" s="638">
        <v>0.1</v>
      </c>
      <c r="L20" s="566">
        <f>I20*J20</f>
        <v>5.584897266388972</v>
      </c>
      <c r="M20" s="566">
        <f>I20*K20</f>
        <v>3.7232648442593148</v>
      </c>
      <c r="N20" s="677">
        <f>I20</f>
        <v>37.232648442593145</v>
      </c>
      <c r="R20" s="626">
        <f>CtL!I28-CtL!H28</f>
        <v>128.55171155398665</v>
      </c>
      <c r="T20" s="627">
        <f>1/I20*100</f>
        <v>2.6858148475304997</v>
      </c>
      <c r="U20" s="627">
        <f>CtL!L8</f>
        <v>4.1109677830514037E-2</v>
      </c>
      <c r="V20" s="627">
        <f>CtL!K8</f>
        <v>7.051317584928548E-3</v>
      </c>
      <c r="W20" s="627">
        <f>CtL!J8</f>
        <v>2.6376538521150565</v>
      </c>
      <c r="X20" s="645">
        <f>CtL!I28</f>
        <v>202.85171155398666</v>
      </c>
      <c r="Y20" s="645">
        <f>CtL!M18</f>
        <v>180.66528892074814</v>
      </c>
      <c r="Z20" s="645">
        <f>CtL!N18</f>
        <v>0.88742325686555201</v>
      </c>
      <c r="AA20" s="688">
        <f>CtL!O18</f>
        <v>2.822857713494234E-3</v>
      </c>
      <c r="AC20" s="625">
        <f>'PTW( for chart)'!D17</f>
        <v>0.91000000000000014</v>
      </c>
      <c r="AD20" s="566">
        <f>42.5*0.74*8/100*AC20</f>
        <v>2.2895600000000003</v>
      </c>
      <c r="AF20" s="624">
        <f>T20*AD20</f>
        <v>6.1493342423119319</v>
      </c>
      <c r="AG20" s="623">
        <f>K20/(1-K20)*AF20</f>
        <v>0.68325936025688139</v>
      </c>
      <c r="AH20" s="623">
        <f>AF20*J20/(1-J20)</f>
        <v>1.0851766309962232</v>
      </c>
      <c r="AI20" s="622">
        <f>X20*AD20</f>
        <v>464.44116470554576</v>
      </c>
      <c r="AJ20" s="566">
        <f>K20/(1-K20)*AI20</f>
        <v>51.604573856171754</v>
      </c>
      <c r="AK20" s="566">
        <f>AI20*J20/(1-J20)</f>
        <v>81.960205536272781</v>
      </c>
      <c r="AN20" s="623">
        <f>AF20-AF9</f>
        <v>3.2436681071352957</v>
      </c>
      <c r="AO20" s="623">
        <f>AI20-AI9</f>
        <v>248.77566193390993</v>
      </c>
    </row>
    <row r="21" spans="1:41" s="628" customFormat="1">
      <c r="A21" s="628" t="s">
        <v>877</v>
      </c>
      <c r="E21" s="674" t="s">
        <v>869</v>
      </c>
      <c r="F21" s="646" t="s">
        <v>876</v>
      </c>
      <c r="G21" s="674">
        <v>0.41410000000000002</v>
      </c>
      <c r="H21" s="646" t="s">
        <v>867</v>
      </c>
      <c r="I21" s="642">
        <v>37.06</v>
      </c>
      <c r="J21" s="644">
        <v>0.15</v>
      </c>
      <c r="K21" s="644">
        <v>0.1</v>
      </c>
      <c r="L21" s="629">
        <f>I21*J21</f>
        <v>5.5590000000000002</v>
      </c>
      <c r="M21" s="629">
        <f>I21*K21</f>
        <v>3.7060000000000004</v>
      </c>
      <c r="N21" s="679">
        <f>I21</f>
        <v>37.06</v>
      </c>
      <c r="R21" s="634">
        <v>215.8</v>
      </c>
      <c r="S21" s="634"/>
      <c r="T21" s="633">
        <f>1/I21*100</f>
        <v>2.698327037236913</v>
      </c>
      <c r="U21" s="633"/>
      <c r="V21" s="633"/>
      <c r="W21" s="633"/>
      <c r="X21" s="634">
        <f>R21+74.3</f>
        <v>290.10000000000002</v>
      </c>
      <c r="AC21" s="641">
        <f>AC9</f>
        <v>0.91000000000000014</v>
      </c>
      <c r="AD21" s="629">
        <f>42.5*0.74*8/100*AC21</f>
        <v>2.2895600000000003</v>
      </c>
      <c r="AF21" s="630">
        <f>T21*AD21</f>
        <v>6.1779816513761476</v>
      </c>
      <c r="AG21" s="630">
        <f>K21/(1-K21)*AF21</f>
        <v>0.68644240570846093</v>
      </c>
      <c r="AH21" s="630">
        <f>AF21*J21/(1-J21)</f>
        <v>1.0902320561252026</v>
      </c>
      <c r="AI21" s="629">
        <f>X21*AD21</f>
        <v>664.20135600000015</v>
      </c>
      <c r="AJ21" s="629">
        <f>K21/(1-K21)*AI21</f>
        <v>73.800150666666681</v>
      </c>
      <c r="AK21" s="629">
        <f>AI21*J21/(1-J21)</f>
        <v>117.21200400000002</v>
      </c>
      <c r="AN21" s="630">
        <f>AF21-AF9</f>
        <v>3.2723155161995114</v>
      </c>
      <c r="AO21" s="630">
        <f>AI21-AI9</f>
        <v>448.53585322836432</v>
      </c>
    </row>
    <row r="22" spans="1:41">
      <c r="I22" s="643"/>
      <c r="N22" s="677"/>
    </row>
    <row r="23" spans="1:41" s="628" customFormat="1">
      <c r="A23" s="628" t="s">
        <v>875</v>
      </c>
      <c r="E23" s="674" t="s">
        <v>869</v>
      </c>
      <c r="F23" s="646" t="s">
        <v>874</v>
      </c>
      <c r="G23" s="650">
        <v>0.50219999999999998</v>
      </c>
      <c r="H23" s="646" t="s">
        <v>873</v>
      </c>
      <c r="I23" s="642">
        <v>35.299999999999997</v>
      </c>
      <c r="J23" s="635">
        <f t="shared" ref="J23:K26" si="14">J18+5%</f>
        <v>0.25</v>
      </c>
      <c r="K23" s="635">
        <f t="shared" si="14"/>
        <v>0.2</v>
      </c>
      <c r="L23" s="629">
        <f>I23*J23</f>
        <v>8.8249999999999993</v>
      </c>
      <c r="M23" s="629">
        <f>I23*K23</f>
        <v>7.06</v>
      </c>
      <c r="N23" s="679">
        <f>I23</f>
        <v>35.299999999999997</v>
      </c>
      <c r="R23" s="634">
        <f>171.6-69.8</f>
        <v>101.8</v>
      </c>
      <c r="S23" s="634"/>
      <c r="T23" s="633">
        <f>1/I23*100</f>
        <v>2.8328611898017</v>
      </c>
      <c r="U23" s="633"/>
      <c r="V23" s="633"/>
      <c r="W23" s="633"/>
      <c r="X23" s="634">
        <f>R23+69.8</f>
        <v>171.6</v>
      </c>
      <c r="AC23" s="641">
        <f>AC18</f>
        <v>0.93457939343865415</v>
      </c>
      <c r="AD23" s="629">
        <f>42.5*0.74*8/100*AC23</f>
        <v>2.3514017538916541</v>
      </c>
      <c r="AF23" s="630">
        <f>T23*AD23</f>
        <v>6.6611947702313152</v>
      </c>
      <c r="AG23" s="630">
        <f>K23/(1-K23)*AF23</f>
        <v>1.6652986925578288</v>
      </c>
      <c r="AH23" s="630">
        <f>AF23*J23/(1-J23)</f>
        <v>2.2203982567437719</v>
      </c>
      <c r="AI23" s="629">
        <f>X23*AD23</f>
        <v>403.50054096780781</v>
      </c>
      <c r="AJ23" s="629">
        <f t="shared" ref="AJ23:AJ31" si="15">K23/(1-K23)*AI23</f>
        <v>100.87513524195195</v>
      </c>
      <c r="AK23" s="629">
        <f t="shared" ref="AK23:AK31" si="16">AI23*J23/(1-J23)</f>
        <v>134.5001803226026</v>
      </c>
      <c r="AL23" s="630">
        <f>AF23-AF3</f>
        <v>3.4455264968501318</v>
      </c>
      <c r="AM23" s="630">
        <f>AI23-AI3</f>
        <v>171.60841673657808</v>
      </c>
    </row>
    <row r="24" spans="1:41" s="628" customFormat="1">
      <c r="A24" s="628" t="s">
        <v>872</v>
      </c>
      <c r="E24" s="674" t="s">
        <v>869</v>
      </c>
      <c r="F24" s="646" t="s">
        <v>868</v>
      </c>
      <c r="G24" s="674">
        <v>0.47460000000000002</v>
      </c>
      <c r="H24" s="646" t="s">
        <v>867</v>
      </c>
      <c r="I24" s="642">
        <v>35</v>
      </c>
      <c r="J24" s="635">
        <f t="shared" si="14"/>
        <v>0.25</v>
      </c>
      <c r="K24" s="635">
        <f t="shared" si="14"/>
        <v>0.2</v>
      </c>
      <c r="L24" s="629">
        <f>I24*J24</f>
        <v>8.75</v>
      </c>
      <c r="M24" s="629">
        <f>I24*K24</f>
        <v>7</v>
      </c>
      <c r="N24" s="679">
        <f>I24</f>
        <v>35</v>
      </c>
      <c r="R24" s="634">
        <f>194.8-67.5</f>
        <v>127.30000000000001</v>
      </c>
      <c r="S24" s="634"/>
      <c r="T24" s="633">
        <f>1/I24*100</f>
        <v>2.8571428571428572</v>
      </c>
      <c r="U24" s="633"/>
      <c r="V24" s="633"/>
      <c r="W24" s="633"/>
      <c r="X24" s="634">
        <f>R24+67.5</f>
        <v>194.8</v>
      </c>
      <c r="AC24" s="641">
        <f>AC19</f>
        <v>0.91000000000000014</v>
      </c>
      <c r="AD24" s="629">
        <f>42.5*0.74*8/100*AC24</f>
        <v>2.2895600000000003</v>
      </c>
      <c r="AF24" s="630">
        <f>T24*AD24</f>
        <v>6.5416000000000007</v>
      </c>
      <c r="AG24" s="630">
        <f>K24/(1-K24)*AF24</f>
        <v>1.6354000000000002</v>
      </c>
      <c r="AH24" s="630">
        <f>AF24*J24/(1-J24)</f>
        <v>2.1805333333333334</v>
      </c>
      <c r="AI24" s="629">
        <f>X24*AD24</f>
        <v>446.0062880000001</v>
      </c>
      <c r="AJ24" s="629">
        <f t="shared" si="15"/>
        <v>111.50157200000002</v>
      </c>
      <c r="AK24" s="629">
        <f t="shared" si="16"/>
        <v>148.66876266666671</v>
      </c>
      <c r="AN24" s="630">
        <f>AF24-AF9</f>
        <v>3.6359338648233646</v>
      </c>
      <c r="AO24" s="630">
        <f>AI24-AI9</f>
        <v>230.34078522836427</v>
      </c>
    </row>
    <row r="25" spans="1:41">
      <c r="A25" s="541" t="s">
        <v>871</v>
      </c>
      <c r="B25" s="673" t="s">
        <v>986</v>
      </c>
      <c r="E25" s="674" t="s">
        <v>869</v>
      </c>
      <c r="F25" s="646" t="s">
        <v>868</v>
      </c>
      <c r="G25" s="674">
        <v>0.50309999999999999</v>
      </c>
      <c r="H25" s="646" t="s">
        <v>867</v>
      </c>
      <c r="I25" s="643">
        <f>'CtL(CCS)'!R8</f>
        <v>30.204599122855242</v>
      </c>
      <c r="J25" s="637">
        <f t="shared" si="14"/>
        <v>0.2</v>
      </c>
      <c r="K25" s="637">
        <f t="shared" si="14"/>
        <v>0.15000000000000002</v>
      </c>
      <c r="L25" s="566">
        <f>I25*J25</f>
        <v>6.0409198245710485</v>
      </c>
      <c r="M25" s="566">
        <f>I25*K25</f>
        <v>4.5306898684282872</v>
      </c>
      <c r="N25" s="677">
        <f>I25</f>
        <v>30.204599122855242</v>
      </c>
      <c r="R25" s="626">
        <f>'CtL(CCS)'!J32-'CtL(CCS)'!I32</f>
        <v>76.014197227636785</v>
      </c>
      <c r="T25" s="627">
        <f>1/I25*100</f>
        <v>3.3107540872585828</v>
      </c>
      <c r="U25" s="627">
        <f>'CtL(CCS)'!L18</f>
        <v>4.1989818216615703E-2</v>
      </c>
      <c r="V25" s="627">
        <f>'CtL(CCS)'!K18</f>
        <v>1.4444690369418353E-2</v>
      </c>
      <c r="W25" s="627">
        <f>'CtL(CCS)'!J18</f>
        <v>2.5963910128217091</v>
      </c>
      <c r="X25" s="645">
        <f>'CtL(CCS)'!J32</f>
        <v>150.31419722763678</v>
      </c>
      <c r="Y25" s="645">
        <f>'CtL(CCS)'!M18-'CtL(CCS)'!M21</f>
        <v>133.66918048663035</v>
      </c>
      <c r="Z25" s="645">
        <f>'CtL(CCS)'!N18</f>
        <v>1.0584773342755041</v>
      </c>
      <c r="AA25" s="688">
        <f>'CtL(CCS)'!O18</f>
        <v>3.2336761391856847E-3</v>
      </c>
      <c r="AC25" s="625">
        <f>AC20</f>
        <v>0.91000000000000014</v>
      </c>
      <c r="AD25" s="566">
        <f>42.5*0.74*8/100*AC25</f>
        <v>2.2895600000000003</v>
      </c>
      <c r="AF25" s="624">
        <f>T25*AD25</f>
        <v>7.5801701280237612</v>
      </c>
      <c r="AG25" s="623">
        <f>K25/(1-K25)*AF25</f>
        <v>1.3376770814159582</v>
      </c>
      <c r="AH25" s="623">
        <f>AF25*J25/(1-J25)</f>
        <v>1.8950425320059405</v>
      </c>
      <c r="AI25" s="622">
        <f>X25*AD25</f>
        <v>344.1533734045081</v>
      </c>
      <c r="AJ25" s="566">
        <f t="shared" si="15"/>
        <v>60.732948247854381</v>
      </c>
      <c r="AK25" s="566">
        <f t="shared" si="16"/>
        <v>86.038343351127025</v>
      </c>
      <c r="AN25" s="623">
        <f>AF25-AF9</f>
        <v>4.674503992847125</v>
      </c>
      <c r="AO25" s="623">
        <f>AI25-AI9</f>
        <v>128.48787063287227</v>
      </c>
    </row>
    <row r="26" spans="1:41" s="628" customFormat="1">
      <c r="A26" s="628" t="s">
        <v>870</v>
      </c>
      <c r="E26" s="674" t="s">
        <v>869</v>
      </c>
      <c r="F26" s="646" t="s">
        <v>868</v>
      </c>
      <c r="G26" s="674">
        <v>0.41410000000000002</v>
      </c>
      <c r="H26" s="646" t="s">
        <v>867</v>
      </c>
      <c r="I26" s="642">
        <v>33.24</v>
      </c>
      <c r="J26" s="635">
        <f t="shared" si="14"/>
        <v>0.2</v>
      </c>
      <c r="K26" s="635">
        <f t="shared" si="14"/>
        <v>0.15000000000000002</v>
      </c>
      <c r="L26" s="629">
        <f>I26*J26</f>
        <v>6.6480000000000006</v>
      </c>
      <c r="M26" s="629">
        <f>I26*K26</f>
        <v>4.9860000000000007</v>
      </c>
      <c r="N26" s="679">
        <f>I26</f>
        <v>33.24</v>
      </c>
      <c r="R26" s="634">
        <f>251.3-74.3</f>
        <v>177</v>
      </c>
      <c r="S26" s="634"/>
      <c r="T26" s="633">
        <f>1/I26*100</f>
        <v>3.0084235860409145</v>
      </c>
      <c r="U26" s="633"/>
      <c r="V26" s="633"/>
      <c r="W26" s="633"/>
      <c r="X26" s="634">
        <f>R26+74.3</f>
        <v>251.3</v>
      </c>
      <c r="AC26" s="641">
        <f>AC21</f>
        <v>0.91000000000000014</v>
      </c>
      <c r="AD26" s="629">
        <f>42.5*0.74*8/100*AC26</f>
        <v>2.2895600000000003</v>
      </c>
      <c r="AF26" s="630">
        <f>T26*AD26</f>
        <v>6.8879663056558371</v>
      </c>
      <c r="AG26" s="630">
        <f>K26/(1-K26)*AF26</f>
        <v>1.2155234657039715</v>
      </c>
      <c r="AH26" s="630">
        <f>AF26*J26/(1-J26)</f>
        <v>1.7219915764139593</v>
      </c>
      <c r="AI26" s="629">
        <f>X26*AD26</f>
        <v>575.36642800000004</v>
      </c>
      <c r="AJ26" s="629">
        <f t="shared" si="15"/>
        <v>101.53525200000003</v>
      </c>
      <c r="AK26" s="629">
        <f t="shared" si="16"/>
        <v>143.84160700000001</v>
      </c>
      <c r="AN26" s="630">
        <f>AF26-AF9</f>
        <v>3.9823001704792009</v>
      </c>
      <c r="AO26" s="630">
        <f>AI26-AI9</f>
        <v>359.70092522836421</v>
      </c>
    </row>
    <row r="27" spans="1:41">
      <c r="AJ27" s="566">
        <f t="shared" si="15"/>
        <v>0</v>
      </c>
      <c r="AK27" s="566">
        <f t="shared" si="16"/>
        <v>0</v>
      </c>
    </row>
    <row r="28" spans="1:41">
      <c r="I28" s="626" t="s">
        <v>833</v>
      </c>
      <c r="X28" s="627"/>
      <c r="AJ28" s="566">
        <f t="shared" si="15"/>
        <v>0</v>
      </c>
      <c r="AK28" s="566">
        <f t="shared" si="16"/>
        <v>0</v>
      </c>
    </row>
    <row r="29" spans="1:41">
      <c r="A29" s="541" t="s">
        <v>866</v>
      </c>
      <c r="B29" s="673" t="s">
        <v>969</v>
      </c>
      <c r="D29" s="566"/>
      <c r="I29" s="640">
        <f>1/T29</f>
        <v>0.65265006170234385</v>
      </c>
      <c r="J29" s="637">
        <v>0.2</v>
      </c>
      <c r="K29" s="637">
        <v>0.1</v>
      </c>
      <c r="L29" s="566">
        <f>I29*J29</f>
        <v>0.13053001234046877</v>
      </c>
      <c r="M29" s="566">
        <f>I29*K29</f>
        <v>6.5265006170234383E-2</v>
      </c>
      <c r="N29" s="637"/>
      <c r="O29" s="637"/>
      <c r="P29" s="637"/>
      <c r="Q29" s="637"/>
      <c r="T29" s="640">
        <v>1.5322146716597924</v>
      </c>
      <c r="U29" s="640"/>
      <c r="V29" s="640"/>
      <c r="W29" s="640"/>
      <c r="X29" s="640">
        <v>209.77260062399628</v>
      </c>
      <c r="AC29" s="625">
        <f>'PTW( for chart)'!D9</f>
        <v>0.93457939343865415</v>
      </c>
      <c r="AD29" s="566">
        <f>42.5*0.74*8/100*AC29</f>
        <v>2.3514017538916541</v>
      </c>
      <c r="AF29" s="624">
        <f>T29*AD29</f>
        <v>3.6028522662793607</v>
      </c>
      <c r="AG29" s="623">
        <f>K29/(1-K29)*AF29</f>
        <v>0.40031691847548456</v>
      </c>
      <c r="AH29" s="623">
        <f>AF29*J29/(1-J29)</f>
        <v>0.90071306656984018</v>
      </c>
      <c r="AI29" s="622">
        <f>X29*AD29</f>
        <v>493.25966102567833</v>
      </c>
      <c r="AJ29" s="566">
        <f t="shared" si="15"/>
        <v>54.80662900285315</v>
      </c>
      <c r="AK29" s="566">
        <f t="shared" si="16"/>
        <v>123.31491525641958</v>
      </c>
      <c r="AL29" s="623">
        <f>AF29-AF3</f>
        <v>0.38718399289817729</v>
      </c>
      <c r="AM29" s="623">
        <f>AI29-AI3</f>
        <v>261.3675367944486</v>
      </c>
    </row>
    <row r="30" spans="1:41">
      <c r="A30" s="541" t="s">
        <v>865</v>
      </c>
      <c r="B30" s="673" t="s">
        <v>969</v>
      </c>
      <c r="D30" s="566"/>
      <c r="I30" s="640">
        <f>1/T30</f>
        <v>1.1474064501422363</v>
      </c>
      <c r="J30" s="637">
        <v>0.2</v>
      </c>
      <c r="K30" s="637">
        <v>0.1</v>
      </c>
      <c r="L30" s="566">
        <f>I30*J30</f>
        <v>0.22948129002844728</v>
      </c>
      <c r="M30" s="566">
        <f>I30*K30</f>
        <v>0.11474064501422364</v>
      </c>
      <c r="N30" s="637"/>
      <c r="O30" s="637"/>
      <c r="P30" s="637"/>
      <c r="Q30" s="637"/>
      <c r="T30" s="640">
        <v>0.87153074647265294</v>
      </c>
      <c r="U30" s="640"/>
      <c r="V30" s="640"/>
      <c r="W30" s="640"/>
      <c r="X30" s="640">
        <v>95.596205512123817</v>
      </c>
      <c r="AC30" s="625">
        <f>AC29</f>
        <v>0.93457939343865415</v>
      </c>
      <c r="AD30" s="566">
        <f>42.5*0.74*8/100*AC30</f>
        <v>2.3514017538916541</v>
      </c>
      <c r="AF30" s="624">
        <f>T30*AD30</f>
        <v>2.0493189258262987</v>
      </c>
      <c r="AG30" s="623">
        <f>K30/(1-K30)*AF30</f>
        <v>0.22770210286958875</v>
      </c>
      <c r="AH30" s="623">
        <f>AF30*J30/(1-J30)</f>
        <v>0.51232973145657468</v>
      </c>
      <c r="AI30" s="622">
        <f>X30*AD30</f>
        <v>224.78508530659494</v>
      </c>
      <c r="AJ30" s="566">
        <f t="shared" si="15"/>
        <v>24.976120589621662</v>
      </c>
      <c r="AK30" s="566">
        <f t="shared" si="16"/>
        <v>56.196271326648741</v>
      </c>
      <c r="AL30" s="623">
        <f>AF30-AF3</f>
        <v>-1.1663493475548847</v>
      </c>
      <c r="AM30" s="623">
        <f>AI30-AI3</f>
        <v>-7.1070389246347929</v>
      </c>
    </row>
    <row r="31" spans="1:41">
      <c r="A31" s="541" t="s">
        <v>864</v>
      </c>
      <c r="B31" s="673" t="s">
        <v>969</v>
      </c>
      <c r="D31" s="566"/>
      <c r="I31" s="640">
        <f>1/T31</f>
        <v>1.3831323755298897</v>
      </c>
      <c r="J31" s="637">
        <v>0.2</v>
      </c>
      <c r="K31" s="637">
        <v>0.6</v>
      </c>
      <c r="L31" s="566">
        <f>I31*J31</f>
        <v>0.27662647510597793</v>
      </c>
      <c r="M31" s="566">
        <f>I31*K31</f>
        <v>0.82987942531793379</v>
      </c>
      <c r="N31" s="637"/>
      <c r="O31" s="637"/>
      <c r="P31" s="637"/>
      <c r="Q31" s="637"/>
      <c r="T31" s="640">
        <v>0.72299659648765835</v>
      </c>
      <c r="U31" s="640"/>
      <c r="V31" s="640"/>
      <c r="W31" s="640"/>
      <c r="X31" s="640">
        <v>68.15914937151814</v>
      </c>
      <c r="AC31" s="625">
        <f>AC30</f>
        <v>0.93457939343865415</v>
      </c>
      <c r="AD31" s="566">
        <f>42.5*0.74*8/100*AC31</f>
        <v>2.3514017538916541</v>
      </c>
      <c r="AF31" s="624">
        <f>T31*AD31</f>
        <v>1.7000554650387762</v>
      </c>
      <c r="AG31" s="623">
        <f>K31/(1-K31)*AF31</f>
        <v>2.5500831975581639</v>
      </c>
      <c r="AH31" s="623">
        <f>AF31*J31/(1-J31)</f>
        <v>0.42501386625969406</v>
      </c>
      <c r="AI31" s="622">
        <f>X31*AD31</f>
        <v>160.26954337595097</v>
      </c>
      <c r="AJ31" s="566">
        <f t="shared" si="15"/>
        <v>240.40431506392642</v>
      </c>
      <c r="AK31" s="566">
        <f t="shared" si="16"/>
        <v>40.067385843987736</v>
      </c>
      <c r="AL31" s="623">
        <f>AF31-AF3</f>
        <v>-1.5156128083424072</v>
      </c>
      <c r="AM31" s="623">
        <f>AI31-AI3</f>
        <v>-71.622580855278756</v>
      </c>
    </row>
    <row r="32" spans="1:41">
      <c r="A32" s="541" t="s">
        <v>863</v>
      </c>
      <c r="B32" s="673" t="s">
        <v>969</v>
      </c>
      <c r="D32" s="566"/>
      <c r="I32" s="627">
        <v>2.5167919315831879</v>
      </c>
      <c r="J32" s="637">
        <v>0.1</v>
      </c>
      <c r="K32" s="637">
        <v>0.1</v>
      </c>
      <c r="L32" s="566">
        <f>I32*J32</f>
        <v>0.25167919315831883</v>
      </c>
      <c r="M32" s="566">
        <f>I32*K32</f>
        <v>0.25167919315831883</v>
      </c>
      <c r="N32" s="637"/>
      <c r="O32" s="637"/>
      <c r="P32" s="637"/>
      <c r="Q32" s="637"/>
      <c r="T32" s="640">
        <f>1/I32</f>
        <v>0.39733121655827547</v>
      </c>
      <c r="U32" s="640"/>
      <c r="V32" s="640"/>
      <c r="W32" s="640"/>
      <c r="X32" s="640">
        <v>33.908202949077335</v>
      </c>
      <c r="AC32" s="625">
        <f>AC31</f>
        <v>0.93457939343865415</v>
      </c>
      <c r="AD32" s="566">
        <f>42.5*0.74*8/100*AC32</f>
        <v>2.3514017538916541</v>
      </c>
      <c r="AF32" s="624">
        <f>T32*AD32</f>
        <v>0.93428531949103355</v>
      </c>
      <c r="AG32" s="623">
        <f>K32/(1-K32)*AF32</f>
        <v>0.10380947994344818</v>
      </c>
      <c r="AH32" s="623">
        <f>AF32*J32/(1-J32)</f>
        <v>0.10380947994344818</v>
      </c>
      <c r="AI32" s="622">
        <f>X32*AD32</f>
        <v>79.7318078857746</v>
      </c>
      <c r="AJ32" s="566">
        <f>-K32/(1-K32)*AI32</f>
        <v>-8.8590897650860665</v>
      </c>
      <c r="AK32" s="566">
        <f>-AI32*J32/(1-J32)</f>
        <v>-8.8590897650860665</v>
      </c>
      <c r="AL32" s="623">
        <f>AF32-AF3</f>
        <v>-2.2813829538901498</v>
      </c>
      <c r="AM32" s="623">
        <f>AI32-AI3</f>
        <v>-152.16031634545513</v>
      </c>
    </row>
    <row r="33" spans="1:39">
      <c r="A33" s="541" t="s">
        <v>862</v>
      </c>
      <c r="B33" s="673" t="s">
        <v>969</v>
      </c>
      <c r="D33" s="566"/>
      <c r="I33" s="640">
        <f>1/T33</f>
        <v>4.5454545454545459</v>
      </c>
      <c r="J33" s="637">
        <f>J32</f>
        <v>0.1</v>
      </c>
      <c r="K33" s="637">
        <f>K32</f>
        <v>0.1</v>
      </c>
      <c r="L33" s="566">
        <f>I33*J33</f>
        <v>0.45454545454545459</v>
      </c>
      <c r="M33" s="566">
        <f>I33*K33</f>
        <v>0.45454545454545459</v>
      </c>
      <c r="N33" s="637"/>
      <c r="O33" s="637"/>
      <c r="P33" s="637"/>
      <c r="Q33" s="637"/>
      <c r="T33" s="640">
        <v>0.22</v>
      </c>
      <c r="U33" s="640"/>
      <c r="V33" s="640"/>
      <c r="W33" s="640"/>
      <c r="X33" s="640">
        <v>4.0475670000000008</v>
      </c>
      <c r="AC33" s="625">
        <f>AC29</f>
        <v>0.93457939343865415</v>
      </c>
      <c r="AD33" s="566">
        <f>42.5*0.74*8/100*AC33</f>
        <v>2.3514017538916541</v>
      </c>
      <c r="AF33" s="624">
        <f>T33*AD33</f>
        <v>0.5173083858561639</v>
      </c>
      <c r="AG33" s="623">
        <f>K33/(1-K33)*AF33</f>
        <v>5.747870953957377E-2</v>
      </c>
      <c r="AH33" s="623">
        <f>AF33*J33/(1-J33)</f>
        <v>5.7478709539573763E-2</v>
      </c>
      <c r="AI33" s="622">
        <f>X33*AD33</f>
        <v>9.5174561427939821</v>
      </c>
      <c r="AJ33" s="566">
        <f t="shared" ref="AJ33:AJ42" si="17">K33/(1-K33)*AI33</f>
        <v>1.0574951269771091</v>
      </c>
      <c r="AK33" s="566">
        <f t="shared" ref="AK33:AK42" si="18">AI33*J33/(1-J33)</f>
        <v>1.0574951269771091</v>
      </c>
      <c r="AL33" s="623">
        <f>AF33-AF3</f>
        <v>-2.6983598875250197</v>
      </c>
      <c r="AM33" s="623">
        <f>AI33-AI3</f>
        <v>-222.37466808843575</v>
      </c>
    </row>
    <row r="34" spans="1:39">
      <c r="B34" s="673"/>
      <c r="D34" s="566"/>
      <c r="I34" s="627"/>
      <c r="J34" s="637"/>
      <c r="K34" s="637"/>
      <c r="L34" s="637"/>
      <c r="M34" s="637"/>
      <c r="N34" s="566"/>
      <c r="O34" s="566"/>
      <c r="P34" s="566"/>
      <c r="Q34" s="566"/>
      <c r="T34" s="640"/>
      <c r="U34" s="640"/>
      <c r="V34" s="640"/>
      <c r="W34" s="640"/>
      <c r="X34" s="640"/>
      <c r="AJ34" s="566">
        <f t="shared" si="17"/>
        <v>0</v>
      </c>
      <c r="AK34" s="566">
        <f t="shared" si="18"/>
        <v>0</v>
      </c>
    </row>
    <row r="35" spans="1:39">
      <c r="A35" s="541" t="s">
        <v>861</v>
      </c>
      <c r="B35" s="673" t="s">
        <v>969</v>
      </c>
      <c r="D35" s="566"/>
      <c r="I35" s="640">
        <f>1/T35</f>
        <v>1.0299014639199642</v>
      </c>
      <c r="J35" s="637">
        <v>0.3</v>
      </c>
      <c r="K35" s="637">
        <v>0.1</v>
      </c>
      <c r="L35" s="566">
        <f>I35*J35</f>
        <v>0.30897043917598926</v>
      </c>
      <c r="M35" s="566">
        <f>I35*K35</f>
        <v>0.10299014639199643</v>
      </c>
      <c r="N35" s="566"/>
      <c r="O35" s="566"/>
      <c r="P35" s="566"/>
      <c r="Q35" s="566"/>
      <c r="T35" s="640">
        <v>0.97096667499999989</v>
      </c>
      <c r="U35" s="640"/>
      <c r="V35" s="640"/>
      <c r="W35" s="640"/>
      <c r="X35" s="640">
        <v>172.46819646066666</v>
      </c>
      <c r="AC35" s="625">
        <f>AC9</f>
        <v>0.91000000000000014</v>
      </c>
      <c r="AD35" s="566">
        <f>42.5*0.74*8/100*AC35</f>
        <v>2.2895600000000003</v>
      </c>
      <c r="AF35" s="624">
        <f>T35*AD35</f>
        <v>2.2230864604130001</v>
      </c>
      <c r="AG35" s="623">
        <f>K35/(1-K35)*AF35</f>
        <v>0.24700960671255559</v>
      </c>
      <c r="AH35" s="623">
        <f>AF35*J35/(1-J35)</f>
        <v>0.95275134017700003</v>
      </c>
      <c r="AI35" s="622">
        <f>X35*AD35</f>
        <v>394.87628388848401</v>
      </c>
      <c r="AJ35" s="566">
        <f t="shared" si="17"/>
        <v>43.875142654276004</v>
      </c>
      <c r="AK35" s="566">
        <f t="shared" si="18"/>
        <v>169.23269309506458</v>
      </c>
      <c r="AL35" s="623">
        <f>AF35-AF9</f>
        <v>-0.68257967476363612</v>
      </c>
      <c r="AM35" s="623">
        <f>AI35-AI9</f>
        <v>179.21078111684818</v>
      </c>
    </row>
    <row r="36" spans="1:39">
      <c r="A36" s="541" t="s">
        <v>860</v>
      </c>
      <c r="B36" s="673" t="s">
        <v>969</v>
      </c>
      <c r="D36" s="566"/>
      <c r="I36" s="627">
        <v>4.6374023006303577</v>
      </c>
      <c r="J36" s="637">
        <v>0.1</v>
      </c>
      <c r="K36" s="637">
        <v>0.1</v>
      </c>
      <c r="L36" s="566">
        <f>I36*J36</f>
        <v>0.46374023006303577</v>
      </c>
      <c r="M36" s="566">
        <f>I36*K36</f>
        <v>0.46374023006303577</v>
      </c>
      <c r="N36" s="566"/>
      <c r="O36" s="566"/>
      <c r="P36" s="566"/>
      <c r="Q36" s="566"/>
      <c r="T36" s="640">
        <f>1/I36</f>
        <v>0.21563796607943006</v>
      </c>
      <c r="U36" s="640"/>
      <c r="V36" s="640"/>
      <c r="W36" s="640"/>
      <c r="X36" s="640">
        <v>17.704673183563482</v>
      </c>
      <c r="AC36" s="625">
        <f>AC35</f>
        <v>0.91000000000000014</v>
      </c>
      <c r="AD36" s="566">
        <f>42.5*0.74*8/100*AC36</f>
        <v>2.2895600000000003</v>
      </c>
      <c r="AF36" s="624">
        <f>T36*AD36</f>
        <v>0.49371606161681997</v>
      </c>
      <c r="AG36" s="623">
        <f>K36/(1-K36)*AF36</f>
        <v>5.485734017964667E-2</v>
      </c>
      <c r="AH36" s="623">
        <f>AF36*J36/(1-J36)</f>
        <v>5.4857340179646663E-2</v>
      </c>
      <c r="AI36" s="622">
        <f>X36*AD36</f>
        <v>40.535911534159609</v>
      </c>
      <c r="AJ36" s="566">
        <f t="shared" si="17"/>
        <v>4.5039901704621794</v>
      </c>
      <c r="AK36" s="566">
        <f t="shared" si="18"/>
        <v>4.5039901704621785</v>
      </c>
      <c r="AL36" s="623">
        <f>AF36-AF9</f>
        <v>-2.4119500735598161</v>
      </c>
      <c r="AM36" s="623">
        <f>AI36-AI9</f>
        <v>-175.12959123747623</v>
      </c>
    </row>
    <row r="37" spans="1:39">
      <c r="A37" s="541" t="s">
        <v>859</v>
      </c>
      <c r="B37" s="673" t="s">
        <v>969</v>
      </c>
      <c r="D37" s="566"/>
      <c r="I37" s="640">
        <f>1/T37</f>
        <v>17.241379310344826</v>
      </c>
      <c r="J37" s="637">
        <v>0.2</v>
      </c>
      <c r="K37" s="637">
        <v>0.2</v>
      </c>
      <c r="L37" s="566">
        <f>I37*J37</f>
        <v>3.4482758620689653</v>
      </c>
      <c r="M37" s="566">
        <f>I37*K37</f>
        <v>3.4482758620689653</v>
      </c>
      <c r="N37" s="566"/>
      <c r="O37" s="566"/>
      <c r="P37" s="566"/>
      <c r="Q37" s="566"/>
      <c r="T37" s="640">
        <v>5.8000000000000003E-2</v>
      </c>
      <c r="U37" s="640"/>
      <c r="V37" s="640"/>
      <c r="W37" s="640"/>
      <c r="X37" s="640">
        <v>7.2399999999999949</v>
      </c>
      <c r="AC37" s="625">
        <f>AC36</f>
        <v>0.91000000000000014</v>
      </c>
      <c r="AD37" s="566">
        <f>42.5*0.74*8/100*AC37</f>
        <v>2.2895600000000003</v>
      </c>
      <c r="AF37" s="624">
        <f>T37*AD37</f>
        <v>0.13279448000000002</v>
      </c>
      <c r="AG37" s="623">
        <f>K37/(1-K37)*AF37</f>
        <v>3.3198620000000005E-2</v>
      </c>
      <c r="AH37" s="623">
        <f>AF37*J37/(1-J37)</f>
        <v>3.3198620000000005E-2</v>
      </c>
      <c r="AI37" s="622">
        <f>X37*AD37</f>
        <v>16.57641439999999</v>
      </c>
      <c r="AJ37" s="566">
        <f t="shared" si="17"/>
        <v>4.1441035999999976</v>
      </c>
      <c r="AK37" s="566">
        <f t="shared" si="18"/>
        <v>4.1441035999999976</v>
      </c>
      <c r="AL37" s="623">
        <f>AF37-AF9</f>
        <v>-2.7728716551766364</v>
      </c>
      <c r="AM37" s="623">
        <f>AI37-AI9</f>
        <v>-199.08908837163585</v>
      </c>
    </row>
    <row r="38" spans="1:39">
      <c r="I38" s="627"/>
      <c r="AJ38" s="566">
        <f t="shared" si="17"/>
        <v>0</v>
      </c>
      <c r="AK38" s="566">
        <f t="shared" si="18"/>
        <v>0</v>
      </c>
    </row>
    <row r="39" spans="1:39">
      <c r="A39" s="673" t="s">
        <v>987</v>
      </c>
      <c r="B39" s="673" t="s">
        <v>988</v>
      </c>
      <c r="C39" s="541">
        <v>20.3</v>
      </c>
      <c r="D39" s="680" t="s">
        <v>998</v>
      </c>
      <c r="I39" s="627">
        <f>1/T39*100</f>
        <v>39.242451469248458</v>
      </c>
      <c r="J39" s="637">
        <v>0.1</v>
      </c>
      <c r="K39" s="637">
        <v>0.1</v>
      </c>
      <c r="L39" s="566">
        <f>I39*J39</f>
        <v>3.9242451469248461</v>
      </c>
      <c r="M39" s="566">
        <f>I39*K39</f>
        <v>3.9242451469248461</v>
      </c>
      <c r="N39" s="637"/>
      <c r="O39" s="637"/>
      <c r="P39" s="637"/>
      <c r="Q39" s="637"/>
      <c r="T39" s="627">
        <v>2.5482607802512782</v>
      </c>
      <c r="X39" s="627">
        <v>225.43975888354808</v>
      </c>
      <c r="Y39" s="566"/>
      <c r="Z39" s="566">
        <v>2.5720000000000001</v>
      </c>
      <c r="AA39" s="566">
        <v>2.1000000000000001E-2</v>
      </c>
      <c r="AB39" s="566">
        <v>0.33</v>
      </c>
      <c r="AC39" s="625">
        <f>'PTW( for chart)'!D22</f>
        <v>0.40567951318458423</v>
      </c>
      <c r="AD39" s="566">
        <f>42.5*0.74*8/100*AC39</f>
        <v>1.0206896551724138</v>
      </c>
      <c r="AF39" s="624">
        <f>T39*AD39</f>
        <v>2.6009834170840636</v>
      </c>
      <c r="AG39" s="623">
        <f>K39/(1-K39)*AF39</f>
        <v>0.28899815745378488</v>
      </c>
      <c r="AH39" s="623">
        <f>AF39*J39/(1-J39)</f>
        <v>0.28899815745378482</v>
      </c>
      <c r="AI39" s="622">
        <f>X39:X42*AD39</f>
        <v>230.1040297570008</v>
      </c>
      <c r="AJ39" s="566">
        <f t="shared" si="17"/>
        <v>25.567114417444536</v>
      </c>
      <c r="AK39" s="566">
        <f t="shared" si="18"/>
        <v>25.567114417444536</v>
      </c>
      <c r="AL39" s="623">
        <f>AF39-AF3</f>
        <v>-0.61468485629711989</v>
      </c>
      <c r="AM39" s="623">
        <f>AI39-AI3</f>
        <v>-1.7880944742289273</v>
      </c>
    </row>
    <row r="40" spans="1:39">
      <c r="A40" s="541" t="s">
        <v>858</v>
      </c>
      <c r="B40" s="673" t="s">
        <v>989</v>
      </c>
      <c r="C40" s="541">
        <v>14</v>
      </c>
      <c r="D40" s="637"/>
      <c r="I40" s="627">
        <f>1/T40*100</f>
        <v>39.242451469248458</v>
      </c>
      <c r="J40" s="637">
        <v>0.1</v>
      </c>
      <c r="K40" s="637">
        <v>0.1</v>
      </c>
      <c r="L40" s="566">
        <f>I40*J40</f>
        <v>3.9242451469248461</v>
      </c>
      <c r="M40" s="566">
        <f>I40*K40</f>
        <v>3.9242451469248461</v>
      </c>
      <c r="N40" s="637"/>
      <c r="O40" s="637"/>
      <c r="P40" s="637"/>
      <c r="Q40" s="637"/>
      <c r="T40" s="627">
        <f t="shared" ref="T40:X42" si="19">T39</f>
        <v>2.5482607802512782</v>
      </c>
      <c r="X40" s="627">
        <f t="shared" si="19"/>
        <v>225.43975888354808</v>
      </c>
      <c r="Y40" s="566"/>
      <c r="Z40" s="566"/>
      <c r="AA40" s="566"/>
      <c r="AB40" s="566"/>
      <c r="AD40" s="566">
        <f>(C40/20.3)*$AD$39</f>
        <v>0.70392390011890604</v>
      </c>
      <c r="AF40" s="624">
        <f>T40*AD40</f>
        <v>1.7937816669545263</v>
      </c>
      <c r="AG40" s="623">
        <f>K40/(1-K40)*AF40</f>
        <v>0.1993090741060585</v>
      </c>
      <c r="AH40" s="623">
        <f>AF40*J40/(1-J40)</f>
        <v>0.1993090741060585</v>
      </c>
      <c r="AI40" s="622">
        <f>X40*AD40</f>
        <v>158.69243431517296</v>
      </c>
      <c r="AJ40" s="566">
        <f t="shared" si="17"/>
        <v>17.632492701685887</v>
      </c>
      <c r="AK40" s="566">
        <f t="shared" si="18"/>
        <v>17.632492701685887</v>
      </c>
      <c r="AL40" s="623">
        <f>AF40-AF4</f>
        <v>-1.3012990461748628</v>
      </c>
      <c r="AM40" s="623">
        <f>AI40-AI4</f>
        <v>-64.503735257385642</v>
      </c>
    </row>
    <row r="41" spans="1:39">
      <c r="A41" s="541" t="s">
        <v>857</v>
      </c>
      <c r="B41" s="673" t="s">
        <v>990</v>
      </c>
      <c r="C41" s="541">
        <v>16</v>
      </c>
      <c r="D41" s="637"/>
      <c r="I41" s="627">
        <f>1/T41*100</f>
        <v>39.242451469248458</v>
      </c>
      <c r="J41" s="637">
        <v>0.1</v>
      </c>
      <c r="K41" s="637">
        <v>0.1</v>
      </c>
      <c r="L41" s="566">
        <f>I41*J41</f>
        <v>3.9242451469248461</v>
      </c>
      <c r="M41" s="566">
        <f>I41*K41</f>
        <v>3.9242451469248461</v>
      </c>
      <c r="N41" s="637"/>
      <c r="O41" s="637"/>
      <c r="P41" s="637"/>
      <c r="Q41" s="637"/>
      <c r="T41" s="627">
        <f t="shared" si="19"/>
        <v>2.5482607802512782</v>
      </c>
      <c r="X41" s="627">
        <f t="shared" si="19"/>
        <v>225.43975888354808</v>
      </c>
      <c r="Y41" s="566"/>
      <c r="Z41" s="566"/>
      <c r="AA41" s="566"/>
      <c r="AB41" s="566"/>
      <c r="AD41" s="566">
        <f>(C41/20.3)*$AD$39</f>
        <v>0.80448445727874973</v>
      </c>
      <c r="AF41" s="624">
        <f>T41*AD41</f>
        <v>2.050036190805173</v>
      </c>
      <c r="AG41" s="623">
        <f>K41/(1-K41)*AF41</f>
        <v>0.22778179897835257</v>
      </c>
      <c r="AH41" s="623">
        <f>AF41*J41/(1-J41)</f>
        <v>0.22778179897835257</v>
      </c>
      <c r="AI41" s="622">
        <f>X41*AD41</f>
        <v>181.36278207448336</v>
      </c>
      <c r="AJ41" s="566">
        <f t="shared" si="17"/>
        <v>20.151420230498154</v>
      </c>
      <c r="AK41" s="566">
        <f t="shared" si="18"/>
        <v>20.151420230498154</v>
      </c>
      <c r="AL41" s="623">
        <f>AF41-AF5</f>
        <v>-1.2460237894105397</v>
      </c>
      <c r="AM41" s="623">
        <f>AI41-AI5</f>
        <v>-56.326645262527109</v>
      </c>
    </row>
    <row r="42" spans="1:39">
      <c r="A42" s="541" t="s">
        <v>856</v>
      </c>
      <c r="B42" s="673" t="s">
        <v>991</v>
      </c>
      <c r="C42" s="541">
        <v>22.5</v>
      </c>
      <c r="D42" s="637"/>
      <c r="I42" s="627">
        <f>1/T42*100</f>
        <v>39.242451469248458</v>
      </c>
      <c r="J42" s="637">
        <v>0.1</v>
      </c>
      <c r="K42" s="637">
        <v>0.1</v>
      </c>
      <c r="L42" s="566">
        <f>I42*J42</f>
        <v>3.9242451469248461</v>
      </c>
      <c r="M42" s="566">
        <f>I42*K42</f>
        <v>3.9242451469248461</v>
      </c>
      <c r="N42" s="637"/>
      <c r="O42" s="637"/>
      <c r="P42" s="637"/>
      <c r="Q42" s="637"/>
      <c r="T42" s="627">
        <f t="shared" si="19"/>
        <v>2.5482607802512782</v>
      </c>
      <c r="X42" s="627">
        <f t="shared" si="19"/>
        <v>225.43975888354808</v>
      </c>
      <c r="Y42" s="566"/>
      <c r="Z42" s="566"/>
      <c r="AA42" s="566"/>
      <c r="AB42" s="566"/>
      <c r="AD42" s="566">
        <f>(C42/20.3)*$AD$39</f>
        <v>1.1313062680482417</v>
      </c>
      <c r="AF42" s="624">
        <f>T42*AD42</f>
        <v>2.882863393319774</v>
      </c>
      <c r="AG42" s="623">
        <f>K42/(1-K42)*AF42</f>
        <v>0.32031815481330828</v>
      </c>
      <c r="AH42" s="623">
        <f>AF42*J42/(1-J42)</f>
        <v>0.32031815481330822</v>
      </c>
      <c r="AI42" s="622">
        <f>X42*AD42</f>
        <v>255.04141229224223</v>
      </c>
      <c r="AJ42" s="566">
        <f t="shared" si="17"/>
        <v>28.337934699138028</v>
      </c>
      <c r="AK42" s="566">
        <f t="shared" si="18"/>
        <v>28.337934699138025</v>
      </c>
      <c r="AL42" s="623">
        <f>AF42-AF6</f>
        <v>0.59169974853568075</v>
      </c>
      <c r="AM42" s="623">
        <f>AI42-AI6</f>
        <v>89.818273777491044</v>
      </c>
    </row>
    <row r="43" spans="1:39">
      <c r="B43" s="673"/>
      <c r="D43" s="637"/>
      <c r="I43" s="627"/>
      <c r="J43" s="637"/>
      <c r="K43" s="637"/>
      <c r="L43" s="566"/>
      <c r="M43" s="566"/>
      <c r="N43" s="637"/>
      <c r="O43" s="637"/>
      <c r="P43" s="637"/>
      <c r="Q43" s="637"/>
      <c r="X43" s="627"/>
      <c r="Y43" s="566"/>
      <c r="Z43" s="566"/>
      <c r="AA43" s="566"/>
      <c r="AB43" s="566"/>
      <c r="AL43" s="623"/>
      <c r="AM43" s="623"/>
    </row>
    <row r="44" spans="1:39">
      <c r="A44" s="541" t="s">
        <v>855</v>
      </c>
      <c r="B44" s="673" t="s">
        <v>992</v>
      </c>
      <c r="C44" s="541">
        <v>20.3</v>
      </c>
      <c r="D44" s="637"/>
      <c r="I44" s="627">
        <f>1/T44*100</f>
        <v>31.389634437929185</v>
      </c>
      <c r="J44" s="637">
        <v>0.1</v>
      </c>
      <c r="K44" s="637">
        <v>0.1</v>
      </c>
      <c r="L44" s="566">
        <f>I44*J44</f>
        <v>3.1389634437929188</v>
      </c>
      <c r="M44" s="566">
        <f>I44*K44</f>
        <v>3.1389634437929188</v>
      </c>
      <c r="N44" s="637"/>
      <c r="O44" s="637"/>
      <c r="P44" s="637"/>
      <c r="Q44" s="637"/>
      <c r="T44" s="627">
        <v>3.1857650396580128</v>
      </c>
      <c r="X44" s="627">
        <v>289.55804511207612</v>
      </c>
      <c r="Y44" s="566"/>
      <c r="Z44" s="566">
        <v>3.169</v>
      </c>
      <c r="AA44" s="566">
        <v>3.0000000000000001E-3</v>
      </c>
      <c r="AB44" s="566">
        <v>0.32900000000000001</v>
      </c>
      <c r="AC44" s="625">
        <f>AC39</f>
        <v>0.40567951318458423</v>
      </c>
      <c r="AD44" s="566">
        <f t="shared" ref="AD44:AD49" si="20">42.5*0.74*8/100*AC44</f>
        <v>1.0206896551724138</v>
      </c>
      <c r="AF44" s="624">
        <f t="shared" ref="AF44:AF49" si="21">T44*AD44</f>
        <v>3.2516774197888685</v>
      </c>
      <c r="AG44" s="623">
        <f t="shared" ref="AG44:AG51" si="22">K44/(1-K44)*AF44</f>
        <v>0.36129749108765208</v>
      </c>
      <c r="AH44" s="623">
        <f t="shared" ref="AH44:AH51" si="23">AF44*J44/(1-J44)</f>
        <v>0.36129749108765208</v>
      </c>
      <c r="AI44" s="622">
        <f t="shared" ref="AI44:AI49" si="24">X44*AD44</f>
        <v>295.54890121784319</v>
      </c>
      <c r="AJ44" s="566">
        <f t="shared" ref="AJ44:AJ51" si="25">K44/(1-K44)*AI44</f>
        <v>32.83876680198258</v>
      </c>
      <c r="AK44" s="566">
        <f t="shared" ref="AK44:AK51" si="26">AI44*J44/(1-J44)</f>
        <v>32.83876680198258</v>
      </c>
      <c r="AL44" s="623">
        <f>AF44-AF3</f>
        <v>3.6009146407685044E-2</v>
      </c>
      <c r="AM44" s="623">
        <f>AI44-AI3</f>
        <v>63.656776986613465</v>
      </c>
    </row>
    <row r="45" spans="1:39">
      <c r="A45" s="541" t="s">
        <v>854</v>
      </c>
      <c r="B45" s="673" t="s">
        <v>993</v>
      </c>
      <c r="C45" s="541">
        <v>20.3</v>
      </c>
      <c r="D45" s="637"/>
      <c r="I45" s="627">
        <f>1/T45*100</f>
        <v>24.394731075301333</v>
      </c>
      <c r="J45" s="637">
        <v>0.1</v>
      </c>
      <c r="K45" s="637">
        <v>0.1</v>
      </c>
      <c r="L45" s="566">
        <f>I45*J45</f>
        <v>2.4394731075301337</v>
      </c>
      <c r="M45" s="566">
        <f>I45*K45</f>
        <v>2.4394731075301337</v>
      </c>
      <c r="N45" s="637"/>
      <c r="O45" s="637"/>
      <c r="P45" s="637"/>
      <c r="Q45" s="637"/>
      <c r="T45" s="627">
        <v>4.0992458449868261</v>
      </c>
      <c r="X45" s="627">
        <v>310.65512750318049</v>
      </c>
      <c r="Y45" s="566"/>
      <c r="Z45" s="566">
        <v>0.46700000000000003</v>
      </c>
      <c r="AA45" s="566">
        <v>8.6999999999999994E-2</v>
      </c>
      <c r="AB45" s="566">
        <v>3.5449999999999999</v>
      </c>
      <c r="AC45" s="625">
        <f>AC44</f>
        <v>0.40567951318458423</v>
      </c>
      <c r="AD45" s="566">
        <f t="shared" si="20"/>
        <v>1.0206896551724138</v>
      </c>
      <c r="AF45" s="624">
        <f t="shared" si="21"/>
        <v>4.1840578279865541</v>
      </c>
      <c r="AG45" s="623">
        <f t="shared" si="22"/>
        <v>0.46489531422072827</v>
      </c>
      <c r="AH45" s="623">
        <f t="shared" si="23"/>
        <v>0.46489531422072822</v>
      </c>
      <c r="AI45" s="622">
        <f t="shared" si="24"/>
        <v>317.08247496876356</v>
      </c>
      <c r="AJ45" s="566">
        <f t="shared" si="25"/>
        <v>35.231386107640397</v>
      </c>
      <c r="AK45" s="566">
        <f t="shared" si="26"/>
        <v>35.231386107640397</v>
      </c>
      <c r="AL45" s="623">
        <f>AF45-AF3</f>
        <v>0.96838955460537068</v>
      </c>
      <c r="AM45" s="623">
        <f>AI45-AI3</f>
        <v>85.190350737533834</v>
      </c>
    </row>
    <row r="46" spans="1:39">
      <c r="A46" s="541" t="s">
        <v>853</v>
      </c>
      <c r="B46" s="673" t="s">
        <v>994</v>
      </c>
      <c r="C46" s="541">
        <v>20.3</v>
      </c>
      <c r="D46" s="637"/>
      <c r="I46" s="627">
        <f>1/T46*100</f>
        <v>38.064967337279441</v>
      </c>
      <c r="J46" s="637">
        <v>0.1</v>
      </c>
      <c r="K46" s="637">
        <v>0.1</v>
      </c>
      <c r="L46" s="566">
        <f>I46*J46</f>
        <v>3.8064967337279443</v>
      </c>
      <c r="M46" s="566">
        <f>I46*K46</f>
        <v>3.8064967337279443</v>
      </c>
      <c r="N46" s="637"/>
      <c r="O46" s="637"/>
      <c r="P46" s="637"/>
      <c r="Q46" s="637"/>
      <c r="T46" s="627">
        <v>2.6270875031610403</v>
      </c>
      <c r="X46" s="627">
        <v>156.45396759602423</v>
      </c>
      <c r="Y46" s="566"/>
      <c r="Z46" s="566">
        <v>0.26</v>
      </c>
      <c r="AA46" s="566">
        <v>2.48</v>
      </c>
      <c r="AB46" s="566">
        <v>0.11</v>
      </c>
      <c r="AC46" s="625">
        <f>AC45</f>
        <v>0.40567951318458423</v>
      </c>
      <c r="AD46" s="566">
        <f t="shared" si="20"/>
        <v>1.0206896551724138</v>
      </c>
      <c r="AF46" s="624">
        <f t="shared" si="21"/>
        <v>2.6814410377091997</v>
      </c>
      <c r="AG46" s="623">
        <f t="shared" si="22"/>
        <v>0.29793789307879998</v>
      </c>
      <c r="AH46" s="623">
        <f t="shared" si="23"/>
        <v>0.29793789307879998</v>
      </c>
      <c r="AI46" s="622">
        <f t="shared" si="24"/>
        <v>159.69094623594196</v>
      </c>
      <c r="AJ46" s="566">
        <f t="shared" si="25"/>
        <v>17.74343847066022</v>
      </c>
      <c r="AK46" s="566">
        <f t="shared" si="26"/>
        <v>17.74343847066022</v>
      </c>
      <c r="AL46" s="623">
        <f>AF46-AF3</f>
        <v>-0.53422723567198371</v>
      </c>
      <c r="AM46" s="623">
        <f>AI46-AI3</f>
        <v>-72.201177995287765</v>
      </c>
    </row>
    <row r="47" spans="1:39">
      <c r="A47" s="541" t="s">
        <v>852</v>
      </c>
      <c r="B47" s="673" t="s">
        <v>995</v>
      </c>
      <c r="C47" s="541">
        <v>20.3</v>
      </c>
      <c r="D47" s="566"/>
      <c r="I47" s="627">
        <f>Y47</f>
        <v>15.873015873015873</v>
      </c>
      <c r="J47" s="637">
        <v>0.1</v>
      </c>
      <c r="K47" s="637">
        <v>0.1</v>
      </c>
      <c r="L47" s="566">
        <f>I47*J47</f>
        <v>1.5873015873015874</v>
      </c>
      <c r="M47" s="566">
        <f>I47*K47</f>
        <v>1.5873015873015874</v>
      </c>
      <c r="T47" s="627">
        <v>6.3E-2</v>
      </c>
      <c r="X47" s="627">
        <v>6.5</v>
      </c>
      <c r="Y47" s="566">
        <f>1/T47</f>
        <v>15.873015873015873</v>
      </c>
      <c r="Z47" s="566">
        <v>5.1999999999999998E-2</v>
      </c>
      <c r="AA47" s="566">
        <v>5.0000000000000001E-3</v>
      </c>
      <c r="AB47" s="566">
        <v>6.0000000000000001E-3</v>
      </c>
      <c r="AC47" s="625">
        <f>AC46</f>
        <v>0.40567951318458423</v>
      </c>
      <c r="AD47" s="566">
        <f t="shared" si="20"/>
        <v>1.0206896551724138</v>
      </c>
      <c r="AF47" s="624">
        <f t="shared" si="21"/>
        <v>6.4303448275862068E-2</v>
      </c>
      <c r="AG47" s="623">
        <f t="shared" si="22"/>
        <v>7.1448275862068967E-3</v>
      </c>
      <c r="AH47" s="623">
        <f t="shared" si="23"/>
        <v>7.1448275862068967E-3</v>
      </c>
      <c r="AI47" s="622">
        <f t="shared" si="24"/>
        <v>6.63448275862069</v>
      </c>
      <c r="AJ47" s="566">
        <f t="shared" si="25"/>
        <v>0.7371647509578545</v>
      </c>
      <c r="AK47" s="566">
        <f t="shared" si="26"/>
        <v>0.73716475095785439</v>
      </c>
      <c r="AL47" s="623">
        <f>AF47-AF3</f>
        <v>-3.1513648251053215</v>
      </c>
      <c r="AM47" s="623">
        <f>AI47-AI3</f>
        <v>-225.25764147260904</v>
      </c>
    </row>
    <row r="48" spans="1:39">
      <c r="A48" s="541" t="s">
        <v>851</v>
      </c>
      <c r="B48" s="673" t="s">
        <v>996</v>
      </c>
      <c r="C48" s="541">
        <v>20.3</v>
      </c>
      <c r="I48" s="626" t="s">
        <v>11</v>
      </c>
      <c r="T48" s="627">
        <v>0</v>
      </c>
      <c r="X48" s="627">
        <v>5</v>
      </c>
      <c r="Z48" s="566">
        <v>0</v>
      </c>
      <c r="AA48" s="566">
        <v>0</v>
      </c>
      <c r="AB48" s="566">
        <v>0</v>
      </c>
      <c r="AC48" s="625">
        <f>AC47</f>
        <v>0.40567951318458423</v>
      </c>
      <c r="AD48" s="566">
        <f t="shared" si="20"/>
        <v>1.0206896551724138</v>
      </c>
      <c r="AF48" s="624">
        <f t="shared" si="21"/>
        <v>0</v>
      </c>
      <c r="AG48" s="623">
        <f t="shared" si="22"/>
        <v>0</v>
      </c>
      <c r="AH48" s="623">
        <f t="shared" si="23"/>
        <v>0</v>
      </c>
      <c r="AI48" s="622">
        <f t="shared" si="24"/>
        <v>5.1034482758620694</v>
      </c>
      <c r="AJ48" s="566">
        <f t="shared" si="25"/>
        <v>0</v>
      </c>
      <c r="AK48" s="566">
        <f t="shared" si="26"/>
        <v>0</v>
      </c>
      <c r="AL48" s="623">
        <f>AF48-AF3</f>
        <v>-3.2156682733811834</v>
      </c>
      <c r="AM48" s="623">
        <f>AI48-AI3</f>
        <v>-226.78867595536767</v>
      </c>
    </row>
    <row r="49" spans="1:41">
      <c r="A49" s="541" t="s">
        <v>850</v>
      </c>
      <c r="B49" s="673" t="s">
        <v>997</v>
      </c>
      <c r="C49" s="541">
        <v>20.3</v>
      </c>
      <c r="D49" s="566"/>
      <c r="I49" s="627">
        <f>Y49</f>
        <v>13.157894736842106</v>
      </c>
      <c r="J49" s="637">
        <v>0.1</v>
      </c>
      <c r="K49" s="637">
        <v>0.1</v>
      </c>
      <c r="L49" s="566">
        <f>I49*J49</f>
        <v>1.3157894736842106</v>
      </c>
      <c r="M49" s="566">
        <f>I49*K49</f>
        <v>1.3157894736842106</v>
      </c>
      <c r="T49" s="627">
        <v>7.5999999999999998E-2</v>
      </c>
      <c r="X49" s="627">
        <v>5.8</v>
      </c>
      <c r="Y49" s="566">
        <f>1/T49</f>
        <v>13.157894736842106</v>
      </c>
      <c r="Z49" s="566">
        <v>0.01</v>
      </c>
      <c r="AA49" s="566">
        <v>2E-3</v>
      </c>
      <c r="AB49" s="566">
        <v>6.4000000000000001E-2</v>
      </c>
      <c r="AC49" s="625">
        <f>AC48</f>
        <v>0.40567951318458423</v>
      </c>
      <c r="AD49" s="566">
        <f t="shared" si="20"/>
        <v>1.0206896551724138</v>
      </c>
      <c r="AF49" s="624">
        <f t="shared" si="21"/>
        <v>7.7572413793103451E-2</v>
      </c>
      <c r="AG49" s="623">
        <f t="shared" si="22"/>
        <v>8.619157088122607E-3</v>
      </c>
      <c r="AH49" s="623">
        <f t="shared" si="23"/>
        <v>8.6191570881226053E-3</v>
      </c>
      <c r="AI49" s="622">
        <f t="shared" si="24"/>
        <v>5.92</v>
      </c>
      <c r="AJ49" s="566">
        <f t="shared" si="25"/>
        <v>0.65777777777777779</v>
      </c>
      <c r="AK49" s="566">
        <f t="shared" si="26"/>
        <v>0.65777777777777768</v>
      </c>
      <c r="AL49" s="623">
        <f>AF49-AF3</f>
        <v>-3.1380958595880801</v>
      </c>
      <c r="AM49" s="623">
        <f>AI49-AI3</f>
        <v>-225.97212423122974</v>
      </c>
    </row>
    <row r="50" spans="1:41">
      <c r="B50" s="673"/>
      <c r="I50" s="627"/>
      <c r="Z50" s="566"/>
      <c r="AA50" s="566"/>
      <c r="AB50" s="566"/>
      <c r="AE50" s="566"/>
      <c r="AG50" s="623">
        <f t="shared" si="22"/>
        <v>0</v>
      </c>
      <c r="AH50" s="623">
        <f t="shared" si="23"/>
        <v>0</v>
      </c>
      <c r="AJ50" s="566">
        <f t="shared" si="25"/>
        <v>0</v>
      </c>
      <c r="AK50" s="566">
        <f t="shared" si="26"/>
        <v>0</v>
      </c>
    </row>
    <row r="51" spans="1:41">
      <c r="A51" s="541" t="s">
        <v>849</v>
      </c>
      <c r="B51" s="673" t="s">
        <v>999</v>
      </c>
      <c r="D51" s="566"/>
      <c r="E51" s="674" t="s">
        <v>848</v>
      </c>
      <c r="F51" s="646" t="s">
        <v>847</v>
      </c>
      <c r="G51" s="650">
        <v>0.37</v>
      </c>
      <c r="H51" s="646" t="s">
        <v>846</v>
      </c>
      <c r="I51" s="627">
        <v>28.031052739412171</v>
      </c>
      <c r="J51" s="637">
        <v>0.15</v>
      </c>
      <c r="K51" s="637">
        <v>0.15</v>
      </c>
      <c r="L51" s="566">
        <f>I51*J51</f>
        <v>4.2046579109118252</v>
      </c>
      <c r="M51" s="566">
        <f>I51*K51</f>
        <v>4.2046579109118252</v>
      </c>
      <c r="N51" s="637"/>
      <c r="O51" s="637"/>
      <c r="P51" s="637"/>
      <c r="Q51" s="637"/>
      <c r="R51" s="626">
        <v>94.107203795770047</v>
      </c>
      <c r="T51" s="627">
        <f>1/I51*100</f>
        <v>3.5674721506052527</v>
      </c>
      <c r="X51" s="626">
        <f>R51</f>
        <v>94.107203795770047</v>
      </c>
      <c r="Z51" s="566">
        <v>3.05</v>
      </c>
      <c r="AA51" s="566">
        <v>0</v>
      </c>
      <c r="AB51" s="566">
        <v>0.32</v>
      </c>
      <c r="AC51" s="625">
        <f>AC39</f>
        <v>0.40567951318458423</v>
      </c>
      <c r="AD51" s="566">
        <f>42.5*0.74*8/100*AC51</f>
        <v>1.0206896551724138</v>
      </c>
      <c r="AE51" s="566"/>
      <c r="AF51" s="624">
        <f>T51*AD51</f>
        <v>3.6412819192384651</v>
      </c>
      <c r="AG51" s="623">
        <f t="shared" si="22"/>
        <v>0.64257916221855271</v>
      </c>
      <c r="AH51" s="623">
        <f t="shared" si="23"/>
        <v>0.64257916221855271</v>
      </c>
      <c r="AI51" s="622">
        <f>X51*AD51</f>
        <v>96.054249391544602</v>
      </c>
      <c r="AJ51" s="566">
        <f t="shared" si="25"/>
        <v>16.95074989262552</v>
      </c>
      <c r="AK51" s="566">
        <f t="shared" si="26"/>
        <v>16.950749892625517</v>
      </c>
      <c r="AL51" s="623">
        <f>AF51-AF3</f>
        <v>0.42561364585728167</v>
      </c>
      <c r="AM51" s="623">
        <f>AI51-AI3</f>
        <v>-135.83787483968513</v>
      </c>
    </row>
    <row r="52" spans="1:41">
      <c r="B52" s="673"/>
      <c r="D52" s="566"/>
      <c r="E52" s="674"/>
      <c r="G52" s="650"/>
      <c r="I52" s="627"/>
      <c r="J52" s="637"/>
      <c r="K52" s="637"/>
      <c r="L52" s="566"/>
      <c r="M52" s="566"/>
      <c r="N52" s="637"/>
      <c r="O52" s="637"/>
      <c r="P52" s="637"/>
      <c r="Q52" s="637"/>
      <c r="Z52" s="566"/>
      <c r="AA52" s="566"/>
      <c r="AB52" s="566"/>
      <c r="AE52" s="566"/>
      <c r="AL52" s="623"/>
      <c r="AM52" s="623"/>
    </row>
    <row r="53" spans="1:41">
      <c r="A53" s="541" t="s">
        <v>845</v>
      </c>
      <c r="B53" s="673" t="s">
        <v>1000</v>
      </c>
      <c r="D53" s="566" t="s">
        <v>844</v>
      </c>
      <c r="E53" s="674"/>
      <c r="G53" s="650"/>
      <c r="I53" s="639"/>
      <c r="J53" s="637"/>
      <c r="K53" s="637"/>
      <c r="L53" s="566"/>
      <c r="M53" s="566"/>
      <c r="N53" s="637"/>
      <c r="O53" s="637"/>
      <c r="P53" s="637"/>
      <c r="Q53" s="637"/>
      <c r="T53" s="627">
        <f>0.95*T44+0.04*T48+0.01*0</f>
        <v>3.026476787675112</v>
      </c>
      <c r="X53" s="627">
        <f>0.95*X44+0.04*X48+0.01*0</f>
        <v>275.28014285647231</v>
      </c>
      <c r="Z53" s="566"/>
      <c r="AA53" s="566"/>
      <c r="AB53" s="566"/>
      <c r="AC53" s="625">
        <f>AC51</f>
        <v>0.40567951318458423</v>
      </c>
      <c r="AD53" s="566">
        <f t="shared" ref="AD53:AD58" si="27">42.5*0.74*8/100*AC53</f>
        <v>1.0206896551724138</v>
      </c>
      <c r="AE53" s="566"/>
      <c r="AF53" s="624">
        <f t="shared" ref="AF53:AF58" si="28">T53*AD53</f>
        <v>3.0890935487994247</v>
      </c>
      <c r="AI53" s="622">
        <f t="shared" ref="AI53:AI58" si="29">X53*AD53</f>
        <v>280.97559408798554</v>
      </c>
      <c r="AL53" s="623"/>
      <c r="AM53" s="623"/>
    </row>
    <row r="54" spans="1:41">
      <c r="A54" s="541" t="s">
        <v>843</v>
      </c>
      <c r="B54" s="673" t="s">
        <v>1001</v>
      </c>
      <c r="D54" s="566" t="s">
        <v>842</v>
      </c>
      <c r="E54" s="674"/>
      <c r="G54" s="650"/>
      <c r="I54" s="627"/>
      <c r="J54" s="637"/>
      <c r="K54" s="637"/>
      <c r="L54" s="566"/>
      <c r="M54" s="566"/>
      <c r="N54" s="637"/>
      <c r="O54" s="637"/>
      <c r="P54" s="637"/>
      <c r="Q54" s="637"/>
      <c r="T54" s="627">
        <f>0.98*T44+0.01*T48+0.01*0</f>
        <v>3.1220497388648525</v>
      </c>
      <c r="X54" s="627">
        <f>0.98*X44+0.01*X48+0.01*0</f>
        <v>283.8168842098346</v>
      </c>
      <c r="Z54" s="566"/>
      <c r="AA54" s="566"/>
      <c r="AB54" s="566"/>
      <c r="AC54" s="625">
        <f>AC53</f>
        <v>0.40567951318458423</v>
      </c>
      <c r="AD54" s="566">
        <f t="shared" si="27"/>
        <v>1.0206896551724138</v>
      </c>
      <c r="AE54" s="566"/>
      <c r="AF54" s="624">
        <f t="shared" si="28"/>
        <v>3.1866438713930911</v>
      </c>
      <c r="AI54" s="622">
        <f t="shared" si="29"/>
        <v>289.68895767624497</v>
      </c>
      <c r="AL54" s="623"/>
      <c r="AM54" s="623"/>
    </row>
    <row r="55" spans="1:41">
      <c r="A55" s="541" t="s">
        <v>841</v>
      </c>
      <c r="B55" s="673" t="s">
        <v>1002</v>
      </c>
      <c r="D55" s="566" t="s">
        <v>840</v>
      </c>
      <c r="E55" s="674"/>
      <c r="G55" s="650"/>
      <c r="I55" s="627"/>
      <c r="J55" s="637"/>
      <c r="K55" s="637"/>
      <c r="L55" s="566"/>
      <c r="M55" s="566"/>
      <c r="N55" s="637"/>
      <c r="O55" s="637"/>
      <c r="P55" s="637"/>
      <c r="Q55" s="637"/>
      <c r="T55" s="627">
        <f>0.77*T44+0.22*T48+0.01*0</f>
        <v>2.4530390805366697</v>
      </c>
      <c r="X55" s="627">
        <f>0.77*X44+0.22*X48+0.01*0</f>
        <v>224.05969473629861</v>
      </c>
      <c r="Z55" s="566"/>
      <c r="AA55" s="566"/>
      <c r="AB55" s="566"/>
      <c r="AC55" s="625">
        <f>AC54</f>
        <v>0.40567951318458423</v>
      </c>
      <c r="AD55" s="566">
        <f t="shared" si="27"/>
        <v>1.0206896551724138</v>
      </c>
      <c r="AE55" s="566"/>
      <c r="AF55" s="624">
        <f t="shared" si="28"/>
        <v>2.5037916132374285</v>
      </c>
      <c r="AI55" s="622">
        <f t="shared" si="29"/>
        <v>228.69541255842893</v>
      </c>
      <c r="AL55" s="623"/>
      <c r="AM55" s="623"/>
    </row>
    <row r="56" spans="1:41">
      <c r="A56" s="541" t="s">
        <v>839</v>
      </c>
      <c r="B56" s="673" t="s">
        <v>1003</v>
      </c>
      <c r="D56" s="566" t="s">
        <v>838</v>
      </c>
      <c r="E56" s="674"/>
      <c r="G56" s="650"/>
      <c r="I56" s="627"/>
      <c r="J56" s="637"/>
      <c r="K56" s="637"/>
      <c r="L56" s="566"/>
      <c r="M56" s="566"/>
      <c r="N56" s="637"/>
      <c r="O56" s="637"/>
      <c r="P56" s="637"/>
      <c r="Q56" s="637"/>
      <c r="T56" s="627">
        <f>0.74*T44+0.26*T48</f>
        <v>2.3574661293469297</v>
      </c>
      <c r="X56" s="627">
        <f>0.74*X44+0.26*X48</f>
        <v>215.57295338293633</v>
      </c>
      <c r="Z56" s="566"/>
      <c r="AA56" s="566"/>
      <c r="AB56" s="566"/>
      <c r="AC56" s="625">
        <f>AC55</f>
        <v>0.40567951318458423</v>
      </c>
      <c r="AD56" s="566">
        <f t="shared" si="27"/>
        <v>1.0206896551724138</v>
      </c>
      <c r="AE56" s="566"/>
      <c r="AF56" s="624">
        <f t="shared" si="28"/>
        <v>2.4062412906437629</v>
      </c>
      <c r="AI56" s="622">
        <f t="shared" si="29"/>
        <v>220.03308345292814</v>
      </c>
      <c r="AL56" s="623"/>
      <c r="AM56" s="623"/>
    </row>
    <row r="57" spans="1:41">
      <c r="A57" s="541" t="s">
        <v>837</v>
      </c>
      <c r="B57" s="673" t="s">
        <v>1004</v>
      </c>
      <c r="D57" s="566" t="s">
        <v>836</v>
      </c>
      <c r="E57" s="674"/>
      <c r="G57" s="650"/>
      <c r="I57" s="627"/>
      <c r="J57" s="637"/>
      <c r="K57" s="637"/>
      <c r="L57" s="566"/>
      <c r="M57" s="566"/>
      <c r="N57" s="637"/>
      <c r="O57" s="637"/>
      <c r="P57" s="637"/>
      <c r="Q57" s="637"/>
      <c r="T57" s="627">
        <f>0.88*T44+0.07*T48+0.05*T47</f>
        <v>2.8066232348990514</v>
      </c>
      <c r="X57" s="627">
        <f>0.88*X44+0.07*X48+0.05*X47</f>
        <v>255.48607969862695</v>
      </c>
      <c r="Z57" s="566"/>
      <c r="AA57" s="566"/>
      <c r="AB57" s="566"/>
      <c r="AC57" s="625">
        <f>AC56</f>
        <v>0.40567951318458423</v>
      </c>
      <c r="AD57" s="566">
        <f t="shared" si="27"/>
        <v>1.0206896551724138</v>
      </c>
      <c r="AE57" s="566"/>
      <c r="AF57" s="624">
        <f t="shared" si="28"/>
        <v>2.8646913018279974</v>
      </c>
      <c r="AI57" s="622">
        <f t="shared" si="29"/>
        <v>260.7719985889434</v>
      </c>
      <c r="AL57" s="623"/>
      <c r="AM57" s="623"/>
    </row>
    <row r="58" spans="1:41">
      <c r="A58" s="541" t="s">
        <v>835</v>
      </c>
      <c r="B58" s="673" t="s">
        <v>1005</v>
      </c>
      <c r="D58" s="566" t="s">
        <v>834</v>
      </c>
      <c r="E58" s="674"/>
      <c r="G58" s="650"/>
      <c r="I58" s="627"/>
      <c r="J58" s="637"/>
      <c r="K58" s="637"/>
      <c r="L58" s="566"/>
      <c r="M58" s="566"/>
      <c r="N58" s="637"/>
      <c r="O58" s="637"/>
      <c r="P58" s="637"/>
      <c r="Q58" s="637"/>
      <c r="T58" s="627">
        <f>0.65*T44+0.3*T48+0.05*T47</f>
        <v>2.0738972757777088</v>
      </c>
      <c r="X58" s="627">
        <f>0.65*X44+0.3*X48+0.05*X47</f>
        <v>190.03772932284946</v>
      </c>
      <c r="Z58" s="566"/>
      <c r="AA58" s="566"/>
      <c r="AB58" s="566"/>
      <c r="AC58" s="625">
        <f>AC57</f>
        <v>0.40567951318458423</v>
      </c>
      <c r="AD58" s="566">
        <f t="shared" si="27"/>
        <v>1.0206896551724138</v>
      </c>
      <c r="AE58" s="566"/>
      <c r="AF58" s="624">
        <f t="shared" si="28"/>
        <v>2.1168054952765578</v>
      </c>
      <c r="AI58" s="622">
        <f t="shared" si="29"/>
        <v>193.96954441228772</v>
      </c>
      <c r="AL58" s="623"/>
      <c r="AM58" s="623"/>
    </row>
    <row r="59" spans="1:41">
      <c r="B59" s="673"/>
      <c r="I59" s="626" t="s">
        <v>833</v>
      </c>
      <c r="Z59" s="563" t="s">
        <v>832</v>
      </c>
      <c r="AA59" s="563" t="s">
        <v>831</v>
      </c>
      <c r="AB59" s="563" t="s">
        <v>830</v>
      </c>
      <c r="AG59" s="623">
        <f t="shared" ref="AG59:AG72" si="30">K59/(1-K59)*AF59</f>
        <v>0</v>
      </c>
      <c r="AH59" s="623">
        <f t="shared" ref="AH59:AH72" si="31">AF59*J59/(1-J59)</f>
        <v>0</v>
      </c>
      <c r="AJ59" s="566">
        <f t="shared" ref="AJ59:AJ72" si="32">K59/(1-K59)*AI59</f>
        <v>0</v>
      </c>
      <c r="AK59" s="566">
        <f t="shared" ref="AK59:AK72" si="33">AI59*J59/(1-J59)</f>
        <v>0</v>
      </c>
    </row>
    <row r="60" spans="1:41" s="628" customFormat="1">
      <c r="A60" s="628" t="s">
        <v>828</v>
      </c>
      <c r="D60" s="629"/>
      <c r="E60" s="646" t="s">
        <v>829</v>
      </c>
      <c r="F60" s="646"/>
      <c r="G60" s="646"/>
      <c r="H60" s="646"/>
      <c r="I60" s="633">
        <f t="shared" ref="I60:I65" si="34">1/T60</f>
        <v>0.53246180466874282</v>
      </c>
      <c r="J60" s="635">
        <v>0.1</v>
      </c>
      <c r="K60" s="635">
        <v>0.1</v>
      </c>
      <c r="L60" s="629">
        <f t="shared" ref="L60:L65" si="35">I60*J60</f>
        <v>5.3246180466874286E-2</v>
      </c>
      <c r="M60" s="629">
        <f t="shared" ref="M60:M65" si="36">I60*K60</f>
        <v>5.3246180466874286E-2</v>
      </c>
      <c r="N60" s="635">
        <f>I60</f>
        <v>0.53246180466874282</v>
      </c>
      <c r="O60" s="635"/>
      <c r="P60" s="635"/>
      <c r="Q60" s="635"/>
      <c r="R60" s="634"/>
      <c r="S60" s="634"/>
      <c r="T60" s="633">
        <v>1.8780689830364901</v>
      </c>
      <c r="U60" s="633"/>
      <c r="V60" s="633"/>
      <c r="W60" s="633"/>
      <c r="X60" s="633">
        <v>127.17105074252038</v>
      </c>
      <c r="Z60" s="632">
        <v>0.32777935620002785</v>
      </c>
      <c r="AA60" s="632">
        <v>0.11896737517669516</v>
      </c>
      <c r="AB60" s="632">
        <v>1.4313222516597719</v>
      </c>
      <c r="AC60" s="631">
        <f>'PTW( for chart)'!D26</f>
        <v>0.43478261770958804</v>
      </c>
      <c r="AD60" s="629">
        <f t="shared" ref="AD60:AD65" si="37">42.5*0.74*8/100*AC60</f>
        <v>1.0939130661573235</v>
      </c>
      <c r="AF60" s="630">
        <f t="shared" ref="AF60:AF65" si="38">T60*AD60</f>
        <v>2.0544441996884131</v>
      </c>
      <c r="AG60" s="630">
        <f t="shared" si="30"/>
        <v>0.22827157774315701</v>
      </c>
      <c r="AH60" s="630">
        <f t="shared" si="31"/>
        <v>0.22827157774315704</v>
      </c>
      <c r="AI60" s="629">
        <f t="shared" ref="AI60:AI65" si="39">X60*AD60</f>
        <v>139.11407404419904</v>
      </c>
      <c r="AJ60" s="629">
        <f t="shared" si="32"/>
        <v>15.45711933824434</v>
      </c>
      <c r="AK60" s="629">
        <f t="shared" si="33"/>
        <v>15.457119338244338</v>
      </c>
      <c r="AN60" s="630">
        <f>AF60-AF9</f>
        <v>-0.85122193548822311</v>
      </c>
      <c r="AO60" s="630">
        <f>AI60-AI9</f>
        <v>-76.551428727436786</v>
      </c>
    </row>
    <row r="61" spans="1:41" s="628" customFormat="1">
      <c r="A61" s="636" t="s">
        <v>826</v>
      </c>
      <c r="B61" s="636"/>
      <c r="C61" s="636"/>
      <c r="D61" s="629"/>
      <c r="E61" s="646"/>
      <c r="F61" s="646"/>
      <c r="G61" s="646"/>
      <c r="H61" s="646"/>
      <c r="I61" s="633">
        <f t="shared" si="34"/>
        <v>0.39704820534628349</v>
      </c>
      <c r="J61" s="635">
        <v>0.1</v>
      </c>
      <c r="K61" s="635">
        <v>0.1</v>
      </c>
      <c r="L61" s="629">
        <f t="shared" si="35"/>
        <v>3.970482053462835E-2</v>
      </c>
      <c r="M61" s="629">
        <f t="shared" si="36"/>
        <v>3.970482053462835E-2</v>
      </c>
      <c r="N61" s="635">
        <f>I61</f>
        <v>0.39704820534628349</v>
      </c>
      <c r="O61" s="635"/>
      <c r="P61" s="635"/>
      <c r="Q61" s="635"/>
      <c r="R61" s="634"/>
      <c r="S61" s="634"/>
      <c r="T61" s="633">
        <v>2.518585870770667</v>
      </c>
      <c r="U61" s="633"/>
      <c r="V61" s="633"/>
      <c r="W61" s="633"/>
      <c r="X61" s="633">
        <v>227.64705238343379</v>
      </c>
      <c r="Z61" s="632">
        <v>2.2738890239150558</v>
      </c>
      <c r="AA61" s="632">
        <v>0.24101031241175599</v>
      </c>
      <c r="AB61" s="632">
        <v>3.6865344438549046E-3</v>
      </c>
      <c r="AC61" s="631">
        <f>AC60</f>
        <v>0.43478261770958804</v>
      </c>
      <c r="AD61" s="629">
        <f t="shared" si="37"/>
        <v>1.0939130661573235</v>
      </c>
      <c r="AF61" s="630">
        <f t="shared" si="38"/>
        <v>2.7551139922752528</v>
      </c>
      <c r="AG61" s="630">
        <f t="shared" si="30"/>
        <v>0.30612377691947257</v>
      </c>
      <c r="AH61" s="630">
        <f t="shared" si="31"/>
        <v>0.30612377691947251</v>
      </c>
      <c r="AI61" s="629">
        <f t="shared" si="39"/>
        <v>249.0260850744389</v>
      </c>
      <c r="AJ61" s="629">
        <f t="shared" si="32"/>
        <v>27.66956500827099</v>
      </c>
      <c r="AK61" s="629">
        <f t="shared" si="33"/>
        <v>27.66956500827099</v>
      </c>
      <c r="AN61" s="630">
        <f>AF61-AF9</f>
        <v>-0.15055214290138341</v>
      </c>
      <c r="AO61" s="630">
        <f>AI61-AI9</f>
        <v>33.360582302803067</v>
      </c>
    </row>
    <row r="62" spans="1:41" s="628" customFormat="1">
      <c r="A62" s="636" t="s">
        <v>825</v>
      </c>
      <c r="B62" s="636"/>
      <c r="C62" s="636"/>
      <c r="D62" s="629"/>
      <c r="E62" s="646"/>
      <c r="F62" s="646"/>
      <c r="G62" s="646"/>
      <c r="H62" s="646"/>
      <c r="I62" s="633">
        <f t="shared" si="34"/>
        <v>0.25663348046043344</v>
      </c>
      <c r="J62" s="635">
        <v>0.1</v>
      </c>
      <c r="K62" s="635">
        <v>0.1</v>
      </c>
      <c r="L62" s="629">
        <f t="shared" si="35"/>
        <v>2.5663348046043345E-2</v>
      </c>
      <c r="M62" s="629">
        <f t="shared" si="36"/>
        <v>2.5663348046043345E-2</v>
      </c>
      <c r="N62" s="635">
        <f>I62</f>
        <v>0.25663348046043344</v>
      </c>
      <c r="O62" s="635"/>
      <c r="P62" s="635"/>
      <c r="Q62" s="635"/>
      <c r="R62" s="634"/>
      <c r="S62" s="634"/>
      <c r="T62" s="633">
        <v>3.8966077154308612</v>
      </c>
      <c r="U62" s="633"/>
      <c r="V62" s="633"/>
      <c r="W62" s="633"/>
      <c r="X62" s="633">
        <v>396.85943102421049</v>
      </c>
      <c r="Z62" s="632">
        <v>3.4286948491577744</v>
      </c>
      <c r="AA62" s="632">
        <v>0.43991807940204725</v>
      </c>
      <c r="AB62" s="632">
        <v>2.7994786871039373E-2</v>
      </c>
      <c r="AC62" s="631">
        <f>AC61</f>
        <v>0.43478261770958804</v>
      </c>
      <c r="AD62" s="629">
        <f t="shared" si="37"/>
        <v>1.0939130661573235</v>
      </c>
      <c r="AF62" s="630">
        <f t="shared" si="38"/>
        <v>4.2625500935992573</v>
      </c>
      <c r="AG62" s="630">
        <f t="shared" si="30"/>
        <v>0.47361667706658417</v>
      </c>
      <c r="AH62" s="630">
        <f t="shared" si="31"/>
        <v>0.47361667706658417</v>
      </c>
      <c r="AI62" s="629">
        <f t="shared" si="39"/>
        <v>434.12971702514494</v>
      </c>
      <c r="AJ62" s="629">
        <f t="shared" si="32"/>
        <v>48.236635225016109</v>
      </c>
      <c r="AK62" s="629">
        <f t="shared" si="33"/>
        <v>48.236635225016109</v>
      </c>
      <c r="AN62" s="630">
        <f>AF62-AF9</f>
        <v>1.3568839584226211</v>
      </c>
      <c r="AO62" s="630">
        <f>AI62-AI9</f>
        <v>218.46421425350911</v>
      </c>
    </row>
    <row r="63" spans="1:41" s="628" customFormat="1">
      <c r="A63" s="636" t="s">
        <v>824</v>
      </c>
      <c r="B63" s="636"/>
      <c r="C63" s="636"/>
      <c r="D63" s="629"/>
      <c r="E63" s="646"/>
      <c r="F63" s="646"/>
      <c r="G63" s="646"/>
      <c r="H63" s="646"/>
      <c r="I63" s="633">
        <f t="shared" si="34"/>
        <v>3.3681129178042535</v>
      </c>
      <c r="J63" s="635">
        <v>0.1</v>
      </c>
      <c r="K63" s="635">
        <v>0.1</v>
      </c>
      <c r="L63" s="629">
        <f t="shared" si="35"/>
        <v>0.33681129178042535</v>
      </c>
      <c r="M63" s="629">
        <f t="shared" si="36"/>
        <v>0.33681129178042535</v>
      </c>
      <c r="N63" s="635"/>
      <c r="O63" s="635"/>
      <c r="P63" s="635"/>
      <c r="Q63" s="635"/>
      <c r="R63" s="634"/>
      <c r="S63" s="634"/>
      <c r="T63" s="633">
        <v>0.29690215987530544</v>
      </c>
      <c r="U63" s="633"/>
      <c r="V63" s="633"/>
      <c r="W63" s="633"/>
      <c r="X63" s="633">
        <v>28.891586579766056</v>
      </c>
      <c r="Z63" s="632">
        <v>0.22080596026888544</v>
      </c>
      <c r="AA63" s="632">
        <v>7.2929190513158368E-2</v>
      </c>
      <c r="AB63" s="632">
        <v>3.167009093261593E-3</v>
      </c>
      <c r="AC63" s="631">
        <f>AC62</f>
        <v>0.43478261770958804</v>
      </c>
      <c r="AD63" s="629">
        <f t="shared" si="37"/>
        <v>1.0939130661573235</v>
      </c>
      <c r="AF63" s="630">
        <f t="shared" si="38"/>
        <v>0.32478515205792724</v>
      </c>
      <c r="AG63" s="630">
        <f t="shared" si="30"/>
        <v>3.6087239117547472E-2</v>
      </c>
      <c r="AH63" s="630">
        <f t="shared" si="31"/>
        <v>3.6087239117547472E-2</v>
      </c>
      <c r="AI63" s="629">
        <f t="shared" si="39"/>
        <v>31.604884061621664</v>
      </c>
      <c r="AJ63" s="629">
        <f t="shared" si="32"/>
        <v>3.5116537846246296</v>
      </c>
      <c r="AK63" s="629">
        <f t="shared" si="33"/>
        <v>3.5116537846246292</v>
      </c>
      <c r="AN63" s="630">
        <f>AF63-AF9</f>
        <v>-2.5808809831187087</v>
      </c>
      <c r="AO63" s="630">
        <f>AI63-AI9</f>
        <v>-184.06061871001415</v>
      </c>
    </row>
    <row r="64" spans="1:41" s="628" customFormat="1">
      <c r="A64" s="636" t="s">
        <v>823</v>
      </c>
      <c r="B64" s="636"/>
      <c r="C64" s="636"/>
      <c r="D64" s="629"/>
      <c r="E64" s="646"/>
      <c r="F64" s="646"/>
      <c r="G64" s="646"/>
      <c r="H64" s="646"/>
      <c r="I64" s="633">
        <f t="shared" si="34"/>
        <v>3.5342105008998197</v>
      </c>
      <c r="J64" s="635">
        <v>0.1</v>
      </c>
      <c r="K64" s="635">
        <v>0.1</v>
      </c>
      <c r="L64" s="629">
        <f t="shared" si="35"/>
        <v>0.35342105008998198</v>
      </c>
      <c r="M64" s="629">
        <f t="shared" si="36"/>
        <v>0.35342105008998198</v>
      </c>
      <c r="N64" s="629"/>
      <c r="O64" s="629"/>
      <c r="P64" s="629"/>
      <c r="Q64" s="629"/>
      <c r="R64" s="634"/>
      <c r="S64" s="634"/>
      <c r="T64" s="633">
        <v>0.28294862452177005</v>
      </c>
      <c r="U64" s="633"/>
      <c r="V64" s="633"/>
      <c r="W64" s="633"/>
      <c r="X64" s="633">
        <v>24.774521933301411</v>
      </c>
      <c r="Z64" s="632">
        <v>0.2467857582486834</v>
      </c>
      <c r="AA64" s="632">
        <v>3.1236261220229069E-2</v>
      </c>
      <c r="AB64" s="632">
        <v>4.9266050528575522E-3</v>
      </c>
      <c r="AC64" s="631">
        <f>AC63</f>
        <v>0.43478261770958804</v>
      </c>
      <c r="AD64" s="629">
        <f t="shared" si="37"/>
        <v>1.0939130661573235</v>
      </c>
      <c r="AF64" s="630">
        <f t="shared" si="38"/>
        <v>0.30952119741560674</v>
      </c>
      <c r="AG64" s="630">
        <f t="shared" si="30"/>
        <v>3.4391244157289641E-2</v>
      </c>
      <c r="AH64" s="630">
        <f t="shared" si="31"/>
        <v>3.4391244157289634E-2</v>
      </c>
      <c r="AI64" s="629">
        <f t="shared" si="39"/>
        <v>27.101173250639608</v>
      </c>
      <c r="AJ64" s="629">
        <f t="shared" si="32"/>
        <v>3.0112414722932899</v>
      </c>
      <c r="AK64" s="629">
        <f t="shared" si="33"/>
        <v>3.0112414722932899</v>
      </c>
      <c r="AN64" s="630">
        <f>AF64-AF9</f>
        <v>-2.5961449377610295</v>
      </c>
      <c r="AO64" s="630">
        <f>AI64-AI9</f>
        <v>-188.56432952099621</v>
      </c>
    </row>
    <row r="65" spans="1:41" s="628" customFormat="1">
      <c r="A65" s="636" t="s">
        <v>822</v>
      </c>
      <c r="B65" s="636"/>
      <c r="C65" s="636"/>
      <c r="D65" s="629"/>
      <c r="E65" s="646"/>
      <c r="F65" s="646"/>
      <c r="G65" s="646"/>
      <c r="H65" s="646"/>
      <c r="I65" s="633">
        <f t="shared" si="34"/>
        <v>0.37439751275564598</v>
      </c>
      <c r="J65" s="635">
        <v>0.15</v>
      </c>
      <c r="K65" s="635">
        <v>0.15</v>
      </c>
      <c r="L65" s="629">
        <f t="shared" si="35"/>
        <v>5.6159626913346895E-2</v>
      </c>
      <c r="M65" s="629">
        <f t="shared" si="36"/>
        <v>5.6159626913346895E-2</v>
      </c>
      <c r="N65" s="635">
        <f>I65</f>
        <v>0.37439751275564598</v>
      </c>
      <c r="O65" s="635"/>
      <c r="P65" s="635"/>
      <c r="Q65" s="635"/>
      <c r="R65" s="634"/>
      <c r="S65" s="634"/>
      <c r="T65" s="633">
        <v>2.6709579148637648</v>
      </c>
      <c r="U65" s="633"/>
      <c r="V65" s="633"/>
      <c r="W65" s="633"/>
      <c r="X65" s="633">
        <v>86.157120422268747</v>
      </c>
      <c r="Z65" s="632">
        <v>2.4524004693519488</v>
      </c>
      <c r="AA65" s="632">
        <v>5.1574455118160696E-3</v>
      </c>
      <c r="AB65" s="632">
        <v>0.21340000000000001</v>
      </c>
      <c r="AC65" s="631">
        <f>AC64</f>
        <v>0.43478261770958804</v>
      </c>
      <c r="AD65" s="629">
        <f t="shared" si="37"/>
        <v>1.0939130661573235</v>
      </c>
      <c r="AF65" s="630">
        <f t="shared" si="38"/>
        <v>2.9217957622257926</v>
      </c>
      <c r="AG65" s="630">
        <f t="shared" si="30"/>
        <v>0.51561101686337518</v>
      </c>
      <c r="AH65" s="630">
        <f t="shared" si="31"/>
        <v>0.51561101686337518</v>
      </c>
      <c r="AI65" s="629">
        <f t="shared" si="39"/>
        <v>94.248399772409769</v>
      </c>
      <c r="AJ65" s="629">
        <f t="shared" si="32"/>
        <v>16.632070548072313</v>
      </c>
      <c r="AK65" s="629">
        <f t="shared" si="33"/>
        <v>16.632070548072313</v>
      </c>
      <c r="AN65" s="630">
        <f>AF65-AF9</f>
        <v>1.6129627049156436E-2</v>
      </c>
      <c r="AO65" s="630">
        <f>AI65-AI9</f>
        <v>-121.41710299922606</v>
      </c>
    </row>
    <row r="66" spans="1:41" s="628" customFormat="1">
      <c r="A66" s="636"/>
      <c r="B66" s="636"/>
      <c r="C66" s="636"/>
      <c r="D66" s="629"/>
      <c r="E66" s="646"/>
      <c r="F66" s="646"/>
      <c r="G66" s="646"/>
      <c r="H66" s="646"/>
      <c r="I66" s="633"/>
      <c r="J66" s="629"/>
      <c r="K66" s="629"/>
      <c r="L66" s="629"/>
      <c r="M66" s="629"/>
      <c r="N66" s="629"/>
      <c r="O66" s="629"/>
      <c r="P66" s="629"/>
      <c r="Q66" s="629"/>
      <c r="R66" s="634"/>
      <c r="S66" s="634"/>
      <c r="T66" s="633"/>
      <c r="U66" s="633"/>
      <c r="V66" s="633"/>
      <c r="W66" s="633"/>
      <c r="X66" s="633"/>
      <c r="Z66" s="632"/>
      <c r="AA66" s="632"/>
      <c r="AB66" s="632"/>
      <c r="AC66" s="631"/>
      <c r="AD66" s="629"/>
      <c r="AF66" s="630"/>
      <c r="AG66" s="630">
        <f t="shared" si="30"/>
        <v>0</v>
      </c>
      <c r="AH66" s="630">
        <f t="shared" si="31"/>
        <v>0</v>
      </c>
      <c r="AI66" s="629"/>
      <c r="AJ66" s="629">
        <f t="shared" si="32"/>
        <v>0</v>
      </c>
      <c r="AK66" s="629">
        <f t="shared" si="33"/>
        <v>0</v>
      </c>
    </row>
    <row r="67" spans="1:41" s="628" customFormat="1">
      <c r="A67" s="636" t="s">
        <v>828</v>
      </c>
      <c r="B67" s="636"/>
      <c r="C67" s="636"/>
      <c r="D67" s="629"/>
      <c r="E67" s="675" t="s">
        <v>827</v>
      </c>
      <c r="F67" s="646"/>
      <c r="G67" s="646"/>
      <c r="H67" s="646"/>
      <c r="I67" s="633">
        <f>1/T67</f>
        <v>0.32575700679343189</v>
      </c>
      <c r="J67" s="635">
        <v>0.1</v>
      </c>
      <c r="K67" s="635">
        <v>0.1</v>
      </c>
      <c r="L67" s="629">
        <f t="shared" ref="L67:L72" si="40">I67*J67</f>
        <v>3.2575700679343192E-2</v>
      </c>
      <c r="M67" s="629">
        <f t="shared" ref="M67:M72" si="41">I67*K67</f>
        <v>3.2575700679343192E-2</v>
      </c>
      <c r="N67" s="635">
        <f>I67</f>
        <v>0.32575700679343189</v>
      </c>
      <c r="O67" s="635"/>
      <c r="P67" s="635"/>
      <c r="Q67" s="635"/>
      <c r="R67" s="634"/>
      <c r="S67" s="634"/>
      <c r="T67" s="633">
        <v>3.069772803487592</v>
      </c>
      <c r="U67" s="633"/>
      <c r="V67" s="633"/>
      <c r="W67" s="633"/>
      <c r="X67" s="633">
        <v>248.36068075117367</v>
      </c>
      <c r="Z67" s="632">
        <v>1.3704071093226018</v>
      </c>
      <c r="AA67" s="632">
        <v>0.25937525150905422</v>
      </c>
      <c r="AB67" s="632">
        <v>1.4399904426559358</v>
      </c>
      <c r="AC67" s="631">
        <f>AC60</f>
        <v>0.43478261770958804</v>
      </c>
      <c r="AD67" s="629">
        <f t="shared" ref="AD67:AD72" si="42">42.5*0.74*8/100*AC67</f>
        <v>1.0939130661573235</v>
      </c>
      <c r="AF67" s="630">
        <f t="shared" ref="AF67:AF72" si="43">T67*AD67</f>
        <v>3.3580645798694748</v>
      </c>
      <c r="AG67" s="630">
        <f t="shared" si="30"/>
        <v>0.3731182866521639</v>
      </c>
      <c r="AH67" s="630">
        <f t="shared" si="31"/>
        <v>0.3731182866521639</v>
      </c>
      <c r="AI67" s="629">
        <f t="shared" ref="AI67:AI72" si="44">X67*AD67</f>
        <v>271.68499379343655</v>
      </c>
      <c r="AJ67" s="629">
        <f t="shared" si="32"/>
        <v>30.187221532604063</v>
      </c>
      <c r="AK67" s="629">
        <f t="shared" si="33"/>
        <v>30.187221532604063</v>
      </c>
      <c r="AN67" s="630">
        <f>AF67-AF9</f>
        <v>0.45239844469283863</v>
      </c>
      <c r="AO67" s="630">
        <f>AI67-AI9</f>
        <v>56.019491021800718</v>
      </c>
    </row>
    <row r="68" spans="1:41" s="628" customFormat="1">
      <c r="A68" s="636" t="s">
        <v>826</v>
      </c>
      <c r="B68" s="636"/>
      <c r="C68" s="636"/>
      <c r="D68" s="629"/>
      <c r="E68" s="646"/>
      <c r="F68" s="646"/>
      <c r="G68" s="646"/>
      <c r="H68" s="646"/>
      <c r="I68" s="633">
        <f>1/T68</f>
        <v>0.26952073374915081</v>
      </c>
      <c r="J68" s="635">
        <v>0.1</v>
      </c>
      <c r="K68" s="635">
        <v>0.1</v>
      </c>
      <c r="L68" s="629">
        <f t="shared" si="40"/>
        <v>2.6952073374915082E-2</v>
      </c>
      <c r="M68" s="629">
        <f t="shared" si="41"/>
        <v>2.6952073374915082E-2</v>
      </c>
      <c r="N68" s="635">
        <f>I68</f>
        <v>0.26952073374915081</v>
      </c>
      <c r="O68" s="635"/>
      <c r="P68" s="635"/>
      <c r="Q68" s="635"/>
      <c r="R68" s="634"/>
      <c r="S68" s="634"/>
      <c r="T68" s="633">
        <v>3.7102896912217638</v>
      </c>
      <c r="U68" s="633"/>
      <c r="V68" s="633"/>
      <c r="W68" s="633"/>
      <c r="X68" s="633">
        <v>348.83668239208708</v>
      </c>
      <c r="Z68" s="632">
        <v>3.3165167770376298</v>
      </c>
      <c r="AA68" s="632">
        <v>0.38141818874411504</v>
      </c>
      <c r="AB68" s="632">
        <v>1.2354725440018748E-2</v>
      </c>
      <c r="AC68" s="631">
        <f>AC67</f>
        <v>0.43478261770958804</v>
      </c>
      <c r="AD68" s="629">
        <f t="shared" si="42"/>
        <v>1.0939130661573235</v>
      </c>
      <c r="AF68" s="630">
        <f t="shared" si="43"/>
        <v>4.0587343724563087</v>
      </c>
      <c r="AG68" s="630">
        <f t="shared" si="30"/>
        <v>0.45097048582847876</v>
      </c>
      <c r="AH68" s="630">
        <f t="shared" si="31"/>
        <v>0.45097048582847876</v>
      </c>
      <c r="AI68" s="629">
        <f t="shared" si="44"/>
        <v>381.5970048236764</v>
      </c>
      <c r="AJ68" s="629">
        <f t="shared" si="32"/>
        <v>42.399667202630717</v>
      </c>
      <c r="AK68" s="629">
        <f t="shared" si="33"/>
        <v>42.39966720263071</v>
      </c>
      <c r="AN68" s="630">
        <f>AF68-AF9</f>
        <v>1.1530682372796726</v>
      </c>
      <c r="AO68" s="630">
        <f>AI68-AI9</f>
        <v>165.93150205204057</v>
      </c>
    </row>
    <row r="69" spans="1:41" s="628" customFormat="1">
      <c r="A69" s="636" t="s">
        <v>825</v>
      </c>
      <c r="B69" s="636"/>
      <c r="C69" s="636"/>
      <c r="D69" s="629"/>
      <c r="E69" s="646"/>
      <c r="F69" s="646"/>
      <c r="G69" s="646"/>
      <c r="H69" s="646"/>
      <c r="I69" s="633">
        <f>1/T69</f>
        <v>0.1965288471329163</v>
      </c>
      <c r="J69" s="635">
        <v>0.1</v>
      </c>
      <c r="K69" s="635">
        <v>0.1</v>
      </c>
      <c r="L69" s="629">
        <f t="shared" si="40"/>
        <v>1.965288471329163E-2</v>
      </c>
      <c r="M69" s="629">
        <f t="shared" si="41"/>
        <v>1.965288471329163E-2</v>
      </c>
      <c r="N69" s="635">
        <f>I69</f>
        <v>0.1965288471329163</v>
      </c>
      <c r="O69" s="635"/>
      <c r="P69" s="635"/>
      <c r="Q69" s="635"/>
      <c r="R69" s="634"/>
      <c r="S69" s="634"/>
      <c r="T69" s="633">
        <v>5.0883115358819584</v>
      </c>
      <c r="U69" s="633"/>
      <c r="V69" s="633"/>
      <c r="W69" s="633"/>
      <c r="X69" s="633">
        <v>518.04906103286373</v>
      </c>
      <c r="Z69" s="632">
        <v>4.4713226022803489</v>
      </c>
      <c r="AA69" s="632">
        <v>0.58032595573440626</v>
      </c>
      <c r="AB69" s="632">
        <v>3.6662977867203218E-2</v>
      </c>
      <c r="AC69" s="631">
        <f>AC68</f>
        <v>0.43478261770958804</v>
      </c>
      <c r="AD69" s="629">
        <f t="shared" si="42"/>
        <v>1.0939130661573235</v>
      </c>
      <c r="AF69" s="630">
        <f t="shared" si="43"/>
        <v>5.5661704737803133</v>
      </c>
      <c r="AG69" s="630">
        <f t="shared" si="30"/>
        <v>0.61846338597559036</v>
      </c>
      <c r="AH69" s="630">
        <f t="shared" si="31"/>
        <v>0.61846338597559036</v>
      </c>
      <c r="AI69" s="629">
        <f t="shared" si="44"/>
        <v>566.70063677438236</v>
      </c>
      <c r="AJ69" s="629">
        <f t="shared" si="32"/>
        <v>62.966737419375825</v>
      </c>
      <c r="AK69" s="629">
        <f t="shared" si="33"/>
        <v>62.966737419375818</v>
      </c>
      <c r="AN69" s="630">
        <f>AF69-AF9</f>
        <v>2.6605043386036771</v>
      </c>
      <c r="AO69" s="630">
        <f>AI69-AI9</f>
        <v>351.03513400274653</v>
      </c>
    </row>
    <row r="70" spans="1:41" s="628" customFormat="1">
      <c r="A70" s="636" t="s">
        <v>824</v>
      </c>
      <c r="B70" s="636"/>
      <c r="C70" s="636"/>
      <c r="D70" s="629"/>
      <c r="E70" s="646"/>
      <c r="F70" s="646"/>
      <c r="G70" s="646"/>
      <c r="H70" s="646"/>
      <c r="I70" s="633">
        <f>1/T70</f>
        <v>0.67176943611413731</v>
      </c>
      <c r="J70" s="635">
        <v>0.1</v>
      </c>
      <c r="K70" s="635">
        <v>0.1</v>
      </c>
      <c r="L70" s="629">
        <f t="shared" si="40"/>
        <v>6.7176943611413728E-2</v>
      </c>
      <c r="M70" s="629">
        <f t="shared" si="41"/>
        <v>6.7176943611413728E-2</v>
      </c>
      <c r="N70" s="629"/>
      <c r="O70" s="629"/>
      <c r="P70" s="629"/>
      <c r="Q70" s="629"/>
      <c r="R70" s="634"/>
      <c r="S70" s="634"/>
      <c r="T70" s="633">
        <v>1.4886059803264025</v>
      </c>
      <c r="U70" s="633"/>
      <c r="V70" s="633"/>
      <c r="W70" s="633"/>
      <c r="X70" s="633">
        <v>150.08121658841935</v>
      </c>
      <c r="Z70" s="632">
        <v>1.2634337133914595</v>
      </c>
      <c r="AA70" s="632">
        <v>0.2133370668455174</v>
      </c>
      <c r="AB70" s="632">
        <v>1.1835200089425436E-2</v>
      </c>
      <c r="AC70" s="631">
        <f>AC69</f>
        <v>0.43478261770958804</v>
      </c>
      <c r="AD70" s="629">
        <f t="shared" si="42"/>
        <v>1.0939130661573235</v>
      </c>
      <c r="AF70" s="630">
        <f t="shared" si="43"/>
        <v>1.6284055322389834</v>
      </c>
      <c r="AG70" s="630">
        <f t="shared" si="30"/>
        <v>0.18093394802655371</v>
      </c>
      <c r="AH70" s="630">
        <f t="shared" si="31"/>
        <v>0.18093394802655371</v>
      </c>
      <c r="AI70" s="629">
        <f t="shared" si="44"/>
        <v>164.17580381085918</v>
      </c>
      <c r="AJ70" s="629">
        <f t="shared" si="32"/>
        <v>18.241755978984354</v>
      </c>
      <c r="AK70" s="629">
        <f t="shared" si="33"/>
        <v>18.241755978984354</v>
      </c>
      <c r="AN70" s="630">
        <f>AF70-AF9</f>
        <v>-1.2772606029376528</v>
      </c>
      <c r="AO70" s="630">
        <f>AI70-AI9</f>
        <v>-51.48969896077665</v>
      </c>
    </row>
    <row r="71" spans="1:41" s="628" customFormat="1">
      <c r="A71" s="636" t="s">
        <v>823</v>
      </c>
      <c r="B71" s="636"/>
      <c r="C71" s="636"/>
      <c r="D71" s="629"/>
      <c r="E71" s="646"/>
      <c r="F71" s="646"/>
      <c r="G71" s="646"/>
      <c r="H71" s="646"/>
      <c r="I71" s="633">
        <f>1/T71</f>
        <v>0.67812588885539027</v>
      </c>
      <c r="J71" s="635">
        <v>0.1</v>
      </c>
      <c r="K71" s="635">
        <v>0.1</v>
      </c>
      <c r="L71" s="629">
        <f t="shared" si="40"/>
        <v>6.7812588885539024E-2</v>
      </c>
      <c r="M71" s="629">
        <f t="shared" si="41"/>
        <v>6.7812588885539024E-2</v>
      </c>
      <c r="N71" s="629"/>
      <c r="O71" s="629"/>
      <c r="P71" s="629"/>
      <c r="Q71" s="629"/>
      <c r="R71" s="634"/>
      <c r="S71" s="634"/>
      <c r="T71" s="633">
        <v>1.4746524449728671</v>
      </c>
      <c r="U71" s="633"/>
      <c r="V71" s="633"/>
      <c r="W71" s="633"/>
      <c r="X71" s="633">
        <v>145.9641519419547</v>
      </c>
      <c r="Z71" s="632">
        <v>1.2894135113712575</v>
      </c>
      <c r="AA71" s="632">
        <v>0.17164413755258812</v>
      </c>
      <c r="AB71" s="632">
        <v>1.3594796049021396E-2</v>
      </c>
      <c r="AC71" s="631">
        <f>AC70</f>
        <v>0.43478261770958804</v>
      </c>
      <c r="AD71" s="629">
        <f t="shared" si="42"/>
        <v>1.0939130661573235</v>
      </c>
      <c r="AF71" s="630">
        <f t="shared" si="43"/>
        <v>1.6131415775966629</v>
      </c>
      <c r="AG71" s="630">
        <f t="shared" si="30"/>
        <v>0.17923795306629589</v>
      </c>
      <c r="AH71" s="630">
        <f t="shared" si="31"/>
        <v>0.17923795306629586</v>
      </c>
      <c r="AI71" s="629">
        <f t="shared" si="44"/>
        <v>159.67209299987712</v>
      </c>
      <c r="AJ71" s="629">
        <f t="shared" si="32"/>
        <v>17.741343666653016</v>
      </c>
      <c r="AK71" s="629">
        <f t="shared" si="33"/>
        <v>17.741343666653016</v>
      </c>
      <c r="AN71" s="630">
        <f>AF71-AF9</f>
        <v>-1.2925245575799733</v>
      </c>
      <c r="AO71" s="630">
        <f>AI71-AI9</f>
        <v>-55.993409771758706</v>
      </c>
    </row>
    <row r="72" spans="1:41" s="628" customFormat="1">
      <c r="A72" s="636" t="s">
        <v>822</v>
      </c>
      <c r="B72" s="636"/>
      <c r="C72" s="636"/>
      <c r="D72" s="629"/>
      <c r="E72" s="646"/>
      <c r="F72" s="646"/>
      <c r="G72" s="646"/>
      <c r="H72" s="646"/>
      <c r="I72" s="633">
        <f>I65*I68/I61</f>
        <v>0.25414519192638707</v>
      </c>
      <c r="J72" s="635">
        <v>0.15</v>
      </c>
      <c r="K72" s="635">
        <v>0.15</v>
      </c>
      <c r="L72" s="629">
        <f t="shared" si="40"/>
        <v>3.8121778788958061E-2</v>
      </c>
      <c r="M72" s="629">
        <f t="shared" si="41"/>
        <v>3.8121778788958061E-2</v>
      </c>
      <c r="R72" s="634"/>
      <c r="S72" s="634"/>
      <c r="T72" s="633">
        <f>T65*T68/T61</f>
        <v>3.9347586803438293</v>
      </c>
      <c r="U72" s="633"/>
      <c r="V72" s="633"/>
      <c r="W72" s="633"/>
      <c r="X72" s="633">
        <f>X65*X68/X61</f>
        <v>132.02351507691603</v>
      </c>
      <c r="Z72" s="632">
        <f>Z65*Z68/Z61</f>
        <v>3.5768796168499959</v>
      </c>
      <c r="AA72" s="632">
        <f>AA65*AA68/AA61</f>
        <v>8.1620720125144212E-3</v>
      </c>
      <c r="AB72" s="632">
        <f>AB65*AB68/AB61</f>
        <v>0.71516988354599209</v>
      </c>
      <c r="AC72" s="631">
        <f>AC71</f>
        <v>0.43478261770958804</v>
      </c>
      <c r="AD72" s="629">
        <f t="shared" si="42"/>
        <v>1.0939130661573235</v>
      </c>
      <c r="AF72" s="630">
        <f t="shared" si="43"/>
        <v>4.3042839326040623</v>
      </c>
      <c r="AG72" s="630">
        <f t="shared" si="30"/>
        <v>0.75957951751836394</v>
      </c>
      <c r="AH72" s="630">
        <f t="shared" si="31"/>
        <v>0.75957951751836394</v>
      </c>
      <c r="AI72" s="629">
        <f t="shared" si="44"/>
        <v>144.42224818265683</v>
      </c>
      <c r="AJ72" s="629">
        <f t="shared" si="32"/>
        <v>25.486279091057089</v>
      </c>
      <c r="AK72" s="629">
        <f t="shared" si="33"/>
        <v>25.486279091057089</v>
      </c>
    </row>
    <row r="73" spans="1:41">
      <c r="X73" s="627"/>
    </row>
  </sheetData>
  <phoneticPr fontId="6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3" zoomScale="80" zoomScaleNormal="80" workbookViewId="0">
      <selection activeCell="H19" sqref="H19"/>
    </sheetView>
  </sheetViews>
  <sheetFormatPr defaultColWidth="8.88671875" defaultRowHeight="14.4"/>
  <cols>
    <col min="1" max="1" width="22" style="541" bestFit="1" customWidth="1"/>
    <col min="2" max="2" width="22" style="541" customWidth="1"/>
    <col min="3" max="3" width="12" style="541" customWidth="1"/>
    <col min="4" max="4" width="9.88671875" style="541" customWidth="1"/>
    <col min="5" max="5" width="12" style="541" customWidth="1"/>
    <col min="6" max="6" width="10" style="541" customWidth="1"/>
    <col min="7" max="7" width="11.33203125" style="541" customWidth="1"/>
    <col min="8" max="8" width="10.44140625" style="541" customWidth="1"/>
    <col min="9" max="16384" width="8.88671875" style="541"/>
  </cols>
  <sheetData>
    <row r="1" spans="1:8" s="585" customFormat="1" ht="43.2">
      <c r="C1" s="585" t="str">
        <f>'WTP&amp;WTW (for chart)'!AF1</f>
        <v>WTW fossil energy use</v>
      </c>
      <c r="D1" s="585" t="str">
        <f>'WTP&amp;WTW (for chart)'!AG1</f>
        <v>Upper limit of error</v>
      </c>
      <c r="E1" s="585" t="str">
        <f>'WTP&amp;WTW (for chart)'!AH1</f>
        <v>Lower limit of error</v>
      </c>
      <c r="F1" s="585" t="str">
        <f>'WTP&amp;WTW (for chart)'!AI1</f>
        <v>WTW GHG emission</v>
      </c>
      <c r="G1" s="585" t="str">
        <f>'WTP&amp;WTW (for chart)'!AJ1</f>
        <v>Upper limit of error</v>
      </c>
      <c r="H1" s="585" t="str">
        <f>'WTP&amp;WTW (for chart)'!AK1</f>
        <v>Lower limit of error</v>
      </c>
    </row>
    <row r="2" spans="1:8">
      <c r="C2" s="541" t="str">
        <f>'WTP&amp;WTW (for chart)'!AF2</f>
        <v>(MJ/km)</v>
      </c>
      <c r="F2" s="541" t="str">
        <f>'WTP&amp;WTW (for chart)'!AI2</f>
        <v>(g CO2e/km)</v>
      </c>
    </row>
    <row r="3" spans="1:8">
      <c r="A3" s="541" t="str">
        <f>'WTP&amp;WTW (for chart)'!A3</f>
        <v>SI ICE-Gasoline (8L/100km)</v>
      </c>
      <c r="B3" s="541" t="str">
        <f>'total(chart)'!C38</f>
        <v>汽油车</v>
      </c>
      <c r="C3" s="566">
        <f>'WTP&amp;WTW (for chart)'!AF3</f>
        <v>3.2156682733811834</v>
      </c>
      <c r="D3" s="566">
        <f>'WTP&amp;WTW (for chart)'!AG3</f>
        <v>0.16924569859900968</v>
      </c>
      <c r="E3" s="566">
        <f>'WTP&amp;WTW (for chart)'!AH3</f>
        <v>0.16924569859900968</v>
      </c>
      <c r="F3" s="566">
        <f>'WTP&amp;WTW (for chart)'!AI3</f>
        <v>231.89212423122973</v>
      </c>
      <c r="G3" s="566">
        <f>'WTP&amp;WTW (for chart)'!AJ3</f>
        <v>12.204848643748933</v>
      </c>
      <c r="H3" s="566">
        <f>'WTP&amp;WTW (for chart)'!AK3</f>
        <v>12.204848643748935</v>
      </c>
    </row>
    <row r="4" spans="1:8">
      <c r="A4" s="541" t="str">
        <f>'WTP&amp;WTW (for chart)'!A9</f>
        <v>CI ICE-Diesel</v>
      </c>
      <c r="B4" s="541" t="str">
        <f>'total(chart)'!C39</f>
        <v>柴油车</v>
      </c>
      <c r="C4" s="566">
        <f>'WTP&amp;WTW (for chart)'!AF9</f>
        <v>2.9056661351766362</v>
      </c>
      <c r="D4" s="566">
        <f>'WTP&amp;WTW (for chart)'!AG9</f>
        <v>0.15292979658824402</v>
      </c>
      <c r="E4" s="566">
        <f>'WTP&amp;WTW (for chart)'!AH9</f>
        <v>0.15292979658824402</v>
      </c>
      <c r="F4" s="566">
        <f>'WTP&amp;WTW (for chart)'!AI9</f>
        <v>215.66550277163583</v>
      </c>
      <c r="G4" s="566">
        <f>'WTP&amp;WTW (for chart)'!AJ9</f>
        <v>11.350815935349255</v>
      </c>
      <c r="H4" s="566">
        <f>'WTP&amp;WTW (for chart)'!AK9</f>
        <v>11.350815935349257</v>
      </c>
    </row>
    <row r="5" spans="1:8">
      <c r="C5" s="566"/>
      <c r="D5" s="566"/>
      <c r="E5" s="566"/>
      <c r="F5" s="566"/>
      <c r="G5" s="566"/>
      <c r="H5" s="566"/>
    </row>
    <row r="6" spans="1:8">
      <c r="A6" s="541" t="str">
        <f>'WTP&amp;WTW (for chart)'!A10</f>
        <v>SI ICE-LPG</v>
      </c>
      <c r="B6" s="541" t="str">
        <f>'total(chart)'!C42</f>
        <v>LPG车</v>
      </c>
      <c r="C6" s="566">
        <f>'WTP&amp;WTW (for chart)'!AF10</f>
        <v>3.1912734652460677</v>
      </c>
      <c r="D6" s="566">
        <f>'WTP&amp;WTW (for chart)'!AG10</f>
        <v>0.16796176132874041</v>
      </c>
      <c r="E6" s="566">
        <f>'WTP&amp;WTW (for chart)'!AH10</f>
        <v>0.16796176132874041</v>
      </c>
      <c r="F6" s="566">
        <f>'WTP&amp;WTW (for chart)'!AI10</f>
        <v>227.69800000000001</v>
      </c>
      <c r="G6" s="566">
        <f>'WTP&amp;WTW (for chart)'!AJ10</f>
        <v>11.984105263157897</v>
      </c>
      <c r="H6" s="566">
        <f>'WTP&amp;WTW (for chart)'!AK10</f>
        <v>11.984105263157897</v>
      </c>
    </row>
    <row r="7" spans="1:8">
      <c r="A7" s="541" t="str">
        <f>'WTP&amp;WTW (for chart)'!A12</f>
        <v>SI ICE-CNG</v>
      </c>
      <c r="B7" s="541" t="str">
        <f>'total(chart)'!C43</f>
        <v>CNG车</v>
      </c>
      <c r="C7" s="566">
        <f>'WTP&amp;WTW (for chart)'!AF12</f>
        <v>3.2004182665971324</v>
      </c>
      <c r="D7" s="566">
        <f>'WTP&amp;WTW (for chart)'!AG12</f>
        <v>0.35560202962190363</v>
      </c>
      <c r="E7" s="566">
        <f>'WTP&amp;WTW (for chart)'!AH12</f>
        <v>0.35560202962190363</v>
      </c>
      <c r="F7" s="566">
        <f>'WTP&amp;WTW (for chart)'!AI12</f>
        <v>193.91576201711052</v>
      </c>
      <c r="G7" s="566">
        <f>'WTP&amp;WTW (for chart)'!AJ12</f>
        <v>21.54619577967895</v>
      </c>
      <c r="H7" s="566">
        <f>'WTP&amp;WTW (for chart)'!AK12</f>
        <v>21.54619577967895</v>
      </c>
    </row>
    <row r="8" spans="1:8">
      <c r="A8" s="541" t="str">
        <f>'WTP&amp;WTW (for chart)'!A13</f>
        <v>SI ICE-LNG1</v>
      </c>
      <c r="B8" s="541" t="str">
        <f>'total(chart)'!C44</f>
        <v>LNG车(海外进口)</v>
      </c>
      <c r="C8" s="566">
        <f>'WTP&amp;WTW (for chart)'!AF13</f>
        <v>3.2433822205019567</v>
      </c>
      <c r="D8" s="566">
        <f>'WTP&amp;WTW (for chart)'!AG13</f>
        <v>0.17070432739483984</v>
      </c>
      <c r="E8" s="566">
        <f>'WTP&amp;WTW (for chart)'!AH13</f>
        <v>0.17070432739483984</v>
      </c>
      <c r="F8" s="566">
        <f>'WTP&amp;WTW (for chart)'!AI13</f>
        <v>192.15410611989452</v>
      </c>
      <c r="G8" s="566">
        <f>'WTP&amp;WTW (for chart)'!AJ13</f>
        <v>10.113374006310238</v>
      </c>
      <c r="H8" s="566">
        <f>'WTP&amp;WTW (for chart)'!AK13</f>
        <v>10.11337400631024</v>
      </c>
    </row>
    <row r="9" spans="1:8">
      <c r="A9" s="541" t="str">
        <f>'WTP&amp;WTW (for chart)'!A14</f>
        <v>SI ICE-LNG2</v>
      </c>
      <c r="B9" s="541" t="str">
        <f>'total(chart)'!C45</f>
        <v>LNG车(井口液化)</v>
      </c>
      <c r="C9" s="566">
        <f>'WTP&amp;WTW (for chart)'!AF14</f>
        <v>3.1949738200975157</v>
      </c>
      <c r="D9" s="566">
        <f>'WTP&amp;WTW (for chart)'!AG14</f>
        <v>0.16815651684723767</v>
      </c>
      <c r="E9" s="566">
        <f>'WTP&amp;WTW (for chart)'!AH14</f>
        <v>0.16815651684723767</v>
      </c>
      <c r="F9" s="566">
        <f>'WTP&amp;WTW (for chart)'!AI14</f>
        <v>199.25414675722294</v>
      </c>
      <c r="G9" s="566">
        <f>'WTP&amp;WTW (for chart)'!AJ14</f>
        <v>10.487060355643314</v>
      </c>
      <c r="H9" s="566">
        <f>'WTP&amp;WTW (for chart)'!AK14</f>
        <v>10.487060355643314</v>
      </c>
    </row>
    <row r="10" spans="1:8">
      <c r="A10" s="541" t="str">
        <f>'WTP&amp;WTW (for chart)'!A15</f>
        <v>SI ICE-LNG3</v>
      </c>
      <c r="B10" s="541" t="str">
        <f>'total(chart)'!C46</f>
        <v>LNG车(管道气液化)</v>
      </c>
      <c r="C10" s="566">
        <f>'WTP&amp;WTW (for chart)'!AF15</f>
        <v>3.2331423800253454</v>
      </c>
      <c r="D10" s="566">
        <f>'WTP&amp;WTW (for chart)'!AG15</f>
        <v>0.1701653884223866</v>
      </c>
      <c r="E10" s="566">
        <f>'WTP&amp;WTW (for chart)'!AH15</f>
        <v>0.17016538842238663</v>
      </c>
      <c r="F10" s="566">
        <f>'WTP&amp;WTW (for chart)'!AI15</f>
        <v>201.78284871511357</v>
      </c>
      <c r="G10" s="566">
        <f>'WTP&amp;WTW (for chart)'!AJ15</f>
        <v>10.6201499323744</v>
      </c>
      <c r="H10" s="566">
        <f>'WTP&amp;WTW (for chart)'!AK15</f>
        <v>10.6201499323744</v>
      </c>
    </row>
    <row r="11" spans="1:8">
      <c r="A11" s="541" t="str">
        <f>'WTP&amp;WTW (for chart)'!A16</f>
        <v>CI ICE-GTL</v>
      </c>
      <c r="B11" s="541" t="str">
        <f>'total(chart)'!C47</f>
        <v>GTL车</v>
      </c>
      <c r="C11" s="566">
        <f>'WTP&amp;WTW (for chart)'!AF16</f>
        <v>4.8909949918127262</v>
      </c>
      <c r="D11" s="566">
        <f>'WTP&amp;WTW (for chart)'!AG16</f>
        <v>0.86311676326106934</v>
      </c>
      <c r="E11" s="566">
        <f>'WTP&amp;WTW (for chart)'!AH16</f>
        <v>0.86311676326106934</v>
      </c>
      <c r="F11" s="566">
        <f>'WTP&amp;WTW (for chart)'!AI16</f>
        <v>490.66161570898089</v>
      </c>
      <c r="G11" s="566">
        <f>'WTP&amp;WTW (for chart)'!AJ16</f>
        <v>86.587343948643692</v>
      </c>
      <c r="H11" s="566">
        <f>'WTP&amp;WTW (for chart)'!AK16</f>
        <v>86.587343948643692</v>
      </c>
    </row>
    <row r="13" spans="1:8">
      <c r="C13" s="541" t="s">
        <v>792</v>
      </c>
      <c r="F13" s="541" t="s">
        <v>791</v>
      </c>
    </row>
    <row r="14" spans="1:8">
      <c r="A14" s="541" t="s">
        <v>794</v>
      </c>
      <c r="B14" s="541" t="str">
        <f t="shared" ref="B14:B19" si="0">B6</f>
        <v>LPG车</v>
      </c>
      <c r="C14" s="604">
        <f>C6/C3</f>
        <v>0.99241376719823615</v>
      </c>
      <c r="F14" s="604">
        <f>F6/F3</f>
        <v>0.9819134684063372</v>
      </c>
    </row>
    <row r="15" spans="1:8">
      <c r="B15" s="541" t="str">
        <f t="shared" si="0"/>
        <v>CNG车</v>
      </c>
      <c r="C15" s="604">
        <f>C7/C3</f>
        <v>0.9952575932939699</v>
      </c>
      <c r="F15" s="604">
        <f>F7/F3</f>
        <v>0.83623263472177556</v>
      </c>
    </row>
    <row r="16" spans="1:8">
      <c r="B16" s="541" t="str">
        <f t="shared" si="0"/>
        <v>LNG车(海外进口)</v>
      </c>
      <c r="C16" s="604">
        <f>C8/C3</f>
        <v>1.0086184098497302</v>
      </c>
      <c r="F16" s="604">
        <f>F8/F3</f>
        <v>0.82863575792806698</v>
      </c>
    </row>
    <row r="17" spans="1:6">
      <c r="B17" s="541" t="str">
        <f t="shared" si="0"/>
        <v>LNG车(井口液化)</v>
      </c>
      <c r="C17" s="604">
        <f>C9/C3</f>
        <v>0.99356449374614497</v>
      </c>
      <c r="F17" s="604">
        <f>F9/F3</f>
        <v>0.85925361811140233</v>
      </c>
    </row>
    <row r="18" spans="1:6">
      <c r="B18" s="541" t="str">
        <f t="shared" si="0"/>
        <v>LNG车(管道气液化)</v>
      </c>
      <c r="C18" s="604">
        <f>C10/C3</f>
        <v>1.0054340513879525</v>
      </c>
      <c r="F18" s="604">
        <f>F10/F3</f>
        <v>0.87015826597848189</v>
      </c>
    </row>
    <row r="19" spans="1:6">
      <c r="B19" s="541" t="str">
        <f t="shared" si="0"/>
        <v>GTL车</v>
      </c>
      <c r="C19" s="604">
        <f>C11/C4</f>
        <v>1.6832611746412502</v>
      </c>
      <c r="F19" s="604">
        <f>F11/F4</f>
        <v>2.2751047775523623</v>
      </c>
    </row>
    <row r="21" spans="1:6">
      <c r="A21" s="541" t="s">
        <v>793</v>
      </c>
      <c r="C21" s="541" t="s">
        <v>792</v>
      </c>
      <c r="F21" s="541" t="s">
        <v>791</v>
      </c>
    </row>
    <row r="22" spans="1:6">
      <c r="B22" s="541" t="str">
        <f t="shared" ref="B22:B27" si="1">B14</f>
        <v>LPG车</v>
      </c>
      <c r="C22" s="604">
        <f>C6/C4</f>
        <v>1.0982932370005645</v>
      </c>
      <c r="D22" s="604"/>
      <c r="E22" s="604"/>
      <c r="F22" s="604">
        <f>F6/F4</f>
        <v>1.0557924057103614</v>
      </c>
    </row>
    <row r="23" spans="1:6">
      <c r="B23" s="541" t="str">
        <f t="shared" si="1"/>
        <v>CNG车</v>
      </c>
      <c r="C23" s="604">
        <f>C7/C4</f>
        <v>1.1014404675926672</v>
      </c>
      <c r="F23" s="604">
        <f>F7/F4</f>
        <v>0.89915058052860819</v>
      </c>
    </row>
    <row r="24" spans="1:6">
      <c r="B24" s="541" t="str">
        <f t="shared" si="1"/>
        <v>LNG车(海外进口)</v>
      </c>
      <c r="C24" s="604">
        <f>C8/C4</f>
        <v>1.1162267341167849</v>
      </c>
      <c r="F24" s="604">
        <f>F8/F4</f>
        <v>0.89098211652033621</v>
      </c>
    </row>
    <row r="25" spans="1:6">
      <c r="B25" s="541" t="str">
        <f t="shared" si="1"/>
        <v>LNG车(井口液化)</v>
      </c>
      <c r="C25" s="604">
        <f>C9/C4</f>
        <v>1.0995667332245975</v>
      </c>
      <c r="F25" s="604">
        <f>F9/F4</f>
        <v>0.92390365726784518</v>
      </c>
    </row>
    <row r="26" spans="1:6">
      <c r="B26" s="541" t="str">
        <f t="shared" si="1"/>
        <v>LNG车(管道气液化)</v>
      </c>
      <c r="C26" s="604">
        <f>C10/C4</f>
        <v>1.1127026401568334</v>
      </c>
      <c r="F26" s="604">
        <f>F10/F4</f>
        <v>0.9356287682633122</v>
      </c>
    </row>
    <row r="27" spans="1:6">
      <c r="B27" s="541" t="str">
        <f t="shared" si="1"/>
        <v>GTL车</v>
      </c>
      <c r="C27" s="604">
        <f>C11/C4</f>
        <v>1.6832611746412502</v>
      </c>
      <c r="F27" s="604">
        <f>F11/F4</f>
        <v>2.2751047775523623</v>
      </c>
    </row>
    <row r="28" spans="1:6">
      <c r="D28" s="604"/>
    </row>
    <row r="29" spans="1:6">
      <c r="D29" s="604"/>
    </row>
  </sheetData>
  <phoneticPr fontId="60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E31" workbookViewId="0">
      <selection activeCell="U52" sqref="U52"/>
    </sheetView>
  </sheetViews>
  <sheetFormatPr defaultColWidth="8.88671875" defaultRowHeight="14.4"/>
  <cols>
    <col min="1" max="2" width="24.21875" style="541" customWidth="1"/>
    <col min="3" max="4" width="10.44140625" style="541" customWidth="1"/>
    <col min="5" max="5" width="12.109375" style="541" customWidth="1"/>
    <col min="6" max="6" width="11.77734375" style="541" customWidth="1"/>
    <col min="7" max="8" width="11" style="541" customWidth="1"/>
    <col min="9" max="16384" width="8.88671875" style="541"/>
  </cols>
  <sheetData>
    <row r="1" spans="1:8" s="585" customFormat="1" ht="57.6">
      <c r="C1" s="585" t="str">
        <f>'WTP&amp;WTW (for chart)'!AF1</f>
        <v>WTW fossil energy use</v>
      </c>
      <c r="D1" s="585" t="str">
        <f>'WTP&amp;WTW (for chart)'!AG1</f>
        <v>Upper limit of error</v>
      </c>
      <c r="E1" s="585" t="str">
        <f>'WTP&amp;WTW (for chart)'!AH1</f>
        <v>Lower limit of error</v>
      </c>
      <c r="F1" s="585" t="str">
        <f>'WTP&amp;WTW (for chart)'!AI1</f>
        <v>WTW GHG emission</v>
      </c>
      <c r="G1" s="585" t="str">
        <f>'WTP&amp;WTW (for chart)'!AJ1</f>
        <v>Upper limit of error</v>
      </c>
      <c r="H1" s="585" t="str">
        <f>'WTP&amp;WTW (for chart)'!AK1</f>
        <v>Lower limit of error</v>
      </c>
    </row>
    <row r="2" spans="1:8">
      <c r="C2" s="541" t="str">
        <f>'WTP&amp;WTW (for chart)'!AF2</f>
        <v>(MJ/km)</v>
      </c>
      <c r="F2" s="541" t="str">
        <f>'WTP&amp;WTW (for chart)'!AI2</f>
        <v>(g CO2e/km)</v>
      </c>
    </row>
    <row r="3" spans="1:8">
      <c r="A3" s="541" t="str">
        <f>'WTP&amp;WTW (for chart)'!A3</f>
        <v>SI ICE-Gasoline (8L/100km)</v>
      </c>
      <c r="B3" s="541" t="str">
        <f>'total(chart)'!C38</f>
        <v>汽油车</v>
      </c>
      <c r="C3" s="566">
        <f>'WTP&amp;WTW (for chart)'!AF3</f>
        <v>3.2156682733811834</v>
      </c>
      <c r="D3" s="566">
        <f>'WTP&amp;WTW (for chart)'!AG3</f>
        <v>0.16924569859900968</v>
      </c>
      <c r="E3" s="566">
        <f>'WTP&amp;WTW (for chart)'!AH3</f>
        <v>0.16924569859900968</v>
      </c>
      <c r="F3" s="566">
        <f>'WTP&amp;WTW (for chart)'!AI3</f>
        <v>231.89212423122973</v>
      </c>
      <c r="G3" s="566">
        <f>'WTP&amp;WTW (for chart)'!AJ3</f>
        <v>12.204848643748933</v>
      </c>
      <c r="H3" s="566">
        <f>'WTP&amp;WTW (for chart)'!AK3</f>
        <v>12.204848643748935</v>
      </c>
    </row>
    <row r="4" spans="1:8">
      <c r="A4" s="541" t="str">
        <f>'WTP&amp;WTW (for chart)'!A9</f>
        <v>CI ICE-Diesel</v>
      </c>
      <c r="B4" s="541" t="str">
        <f>'total(chart)'!C39</f>
        <v>柴油车</v>
      </c>
      <c r="C4" s="566">
        <f>'WTP&amp;WTW (for chart)'!AF9</f>
        <v>2.9056661351766362</v>
      </c>
      <c r="D4" s="566">
        <f>'WTP&amp;WTW (for chart)'!AG9</f>
        <v>0.15292979658824402</v>
      </c>
      <c r="E4" s="566">
        <f>'WTP&amp;WTW (for chart)'!AH9</f>
        <v>0.15292979658824402</v>
      </c>
      <c r="F4" s="566">
        <f>'WTP&amp;WTW (for chart)'!AI9</f>
        <v>215.66550277163583</v>
      </c>
      <c r="G4" s="566">
        <f>'WTP&amp;WTW (for chart)'!AJ9</f>
        <v>11.350815935349255</v>
      </c>
      <c r="H4" s="566">
        <f>'WTP&amp;WTW (for chart)'!AK9</f>
        <v>11.350815935349257</v>
      </c>
    </row>
    <row r="5" spans="1:8">
      <c r="C5" s="566"/>
      <c r="D5" s="566"/>
      <c r="E5" s="566"/>
      <c r="F5" s="566"/>
      <c r="G5" s="566"/>
      <c r="H5" s="566"/>
    </row>
    <row r="6" spans="1:8">
      <c r="A6" s="541" t="str">
        <f>'WTP&amp;WTW (for chart)'!A29</f>
        <v>SI ICE-Corn ethanol</v>
      </c>
      <c r="B6" s="541" t="str">
        <f>'total(chart)'!C72</f>
        <v>玉米乙醇汽车</v>
      </c>
      <c r="C6" s="566">
        <f>'WTP&amp;WTW (for chart)'!AF29</f>
        <v>3.6028522662793607</v>
      </c>
      <c r="D6" s="566">
        <f>'WTP&amp;WTW (for chart)'!AG29</f>
        <v>0.40031691847548456</v>
      </c>
      <c r="E6" s="566">
        <f>'WTP&amp;WTW (for chart)'!AH29</f>
        <v>0.90071306656984018</v>
      </c>
      <c r="F6" s="566">
        <f>'WTP&amp;WTW (for chart)'!AI29</f>
        <v>493.25966102567833</v>
      </c>
      <c r="G6" s="566">
        <f>'WTP&amp;WTW (for chart)'!AJ29</f>
        <v>54.80662900285315</v>
      </c>
      <c r="H6" s="566">
        <f>'WTP&amp;WTW (for chart)'!AK29</f>
        <v>123.31491525641958</v>
      </c>
    </row>
    <row r="7" spans="1:8">
      <c r="A7" s="541" t="str">
        <f>'WTP&amp;WTW (for chart)'!A30</f>
        <v>SI ICE-Cassava ethanol</v>
      </c>
      <c r="B7" s="541" t="str">
        <f>'total(chart)'!C73</f>
        <v>木薯乙醇汽车</v>
      </c>
      <c r="C7" s="566">
        <f>'WTP&amp;WTW (for chart)'!AF30</f>
        <v>2.0493189258262987</v>
      </c>
      <c r="D7" s="566">
        <f>'WTP&amp;WTW (for chart)'!AG30</f>
        <v>0.22770210286958875</v>
      </c>
      <c r="E7" s="566">
        <f>'WTP&amp;WTW (for chart)'!AH30</f>
        <v>0.51232973145657468</v>
      </c>
      <c r="F7" s="566">
        <f>'WTP&amp;WTW (for chart)'!AI30</f>
        <v>224.78508530659494</v>
      </c>
      <c r="G7" s="566">
        <f>'WTP&amp;WTW (for chart)'!AJ30</f>
        <v>24.976120589621662</v>
      </c>
      <c r="H7" s="566">
        <f>'WTP&amp;WTW (for chart)'!AK30</f>
        <v>56.196271326648741</v>
      </c>
    </row>
    <row r="8" spans="1:8">
      <c r="A8" s="541" t="str">
        <f>'WTP&amp;WTW (for chart)'!A31</f>
        <v>SI ICE-Sweet sorghum ethanol</v>
      </c>
      <c r="B8" s="541" t="str">
        <f>'total(chart)'!C74</f>
        <v>甜高粱乙醇汽车</v>
      </c>
      <c r="C8" s="566">
        <f>'WTP&amp;WTW (for chart)'!AF31</f>
        <v>1.7000554650387762</v>
      </c>
      <c r="D8" s="566">
        <f>'WTP&amp;WTW (for chart)'!AG31</f>
        <v>2.5500831975581639</v>
      </c>
      <c r="E8" s="566">
        <f>'WTP&amp;WTW (for chart)'!AH31</f>
        <v>0.42501386625969406</v>
      </c>
      <c r="F8" s="566">
        <f>'WTP&amp;WTW (for chart)'!AI31</f>
        <v>160.26954337595097</v>
      </c>
      <c r="G8" s="566">
        <f>'WTP&amp;WTW (for chart)'!AJ31</f>
        <v>240.40431506392642</v>
      </c>
      <c r="H8" s="566">
        <f>'WTP&amp;WTW (for chart)'!AK31</f>
        <v>40.067385843987736</v>
      </c>
    </row>
    <row r="9" spans="1:8">
      <c r="A9" s="541" t="str">
        <f>'WTP&amp;WTW (for chart)'!A32</f>
        <v>SI ICE-Woody ethanol</v>
      </c>
      <c r="B9" s="541" t="str">
        <f>'total(chart)'!C75</f>
        <v>木本二代生物燃料汽车</v>
      </c>
      <c r="C9" s="566">
        <f>'WTP&amp;WTW (for chart)'!AF32</f>
        <v>0.93428531949103355</v>
      </c>
      <c r="D9" s="566">
        <f>'WTP&amp;WTW (for chart)'!AG32</f>
        <v>0.10380947994344818</v>
      </c>
      <c r="E9" s="566">
        <f>'WTP&amp;WTW (for chart)'!AH32</f>
        <v>0.10380947994344818</v>
      </c>
      <c r="F9" s="566">
        <f>'WTP&amp;WTW (for chart)'!AI32</f>
        <v>79.7318078857746</v>
      </c>
      <c r="G9" s="566">
        <f>'WTP&amp;WTW (for chart)'!AJ32</f>
        <v>-8.8590897650860665</v>
      </c>
      <c r="H9" s="566">
        <f>'WTP&amp;WTW (for chart)'!AK32</f>
        <v>-8.8590897650860665</v>
      </c>
    </row>
    <row r="10" spans="1:8">
      <c r="A10" s="541" t="str">
        <f>'WTP&amp;WTW (for chart)'!A33</f>
        <v>SI ICE-Herbaceous ethanol</v>
      </c>
      <c r="B10" s="541" t="str">
        <f>'total(chart)'!C76</f>
        <v>草本二代生物燃料汽车</v>
      </c>
      <c r="C10" s="566">
        <f>'WTP&amp;WTW (for chart)'!AF33</f>
        <v>0.5173083858561639</v>
      </c>
      <c r="D10" s="566">
        <f>'WTP&amp;WTW (for chart)'!AG33</f>
        <v>5.747870953957377E-2</v>
      </c>
      <c r="E10" s="566">
        <f>'WTP&amp;WTW (for chart)'!AH33</f>
        <v>5.7478709539573763E-2</v>
      </c>
      <c r="F10" s="566">
        <f>'WTP&amp;WTW (for chart)'!AI33</f>
        <v>9.5174561427939821</v>
      </c>
      <c r="G10" s="566">
        <f>'WTP&amp;WTW (for chart)'!AJ33</f>
        <v>1.0574951269771091</v>
      </c>
      <c r="H10" s="566">
        <f>'WTP&amp;WTW (for chart)'!AK33</f>
        <v>1.0574951269771091</v>
      </c>
    </row>
    <row r="11" spans="1:8">
      <c r="C11" s="566"/>
      <c r="D11" s="566"/>
      <c r="E11" s="566"/>
      <c r="F11" s="566"/>
      <c r="G11" s="566"/>
      <c r="H11" s="566"/>
    </row>
    <row r="12" spans="1:8">
      <c r="A12" s="541" t="str">
        <f>'WTP&amp;WTW (for chart)'!A35</f>
        <v>CI ICE-Waste oil biodiesel</v>
      </c>
      <c r="B12" s="541" t="str">
        <f>'total(chart)'!C78</f>
        <v>废弃油生物柴油汽车</v>
      </c>
      <c r="C12" s="566">
        <f>'WTP&amp;WTW (for chart)'!AF35</f>
        <v>2.2230864604130001</v>
      </c>
      <c r="D12" s="566">
        <f>'WTP&amp;WTW (for chart)'!AG35</f>
        <v>0.24700960671255559</v>
      </c>
      <c r="E12" s="566">
        <f>'WTP&amp;WTW (for chart)'!AH35</f>
        <v>0.95275134017700003</v>
      </c>
      <c r="F12" s="566">
        <f>'WTP&amp;WTW (for chart)'!AI35</f>
        <v>394.87628388848401</v>
      </c>
      <c r="G12" s="566">
        <f>'WTP&amp;WTW (for chart)'!AJ35</f>
        <v>43.875142654276004</v>
      </c>
      <c r="H12" s="566">
        <f>'WTP&amp;WTW (for chart)'!AK35</f>
        <v>169.23269309506458</v>
      </c>
    </row>
    <row r="13" spans="1:8">
      <c r="A13" s="541" t="str">
        <f>'WTP&amp;WTW (for chart)'!A36</f>
        <v>CI ICE-Jatropha biodiesel</v>
      </c>
      <c r="B13" s="541" t="str">
        <f>'total(chart)'!C79</f>
        <v>小桐子生物柴油汽车</v>
      </c>
      <c r="C13" s="566">
        <f>'WTP&amp;WTW (for chart)'!AF36</f>
        <v>0.49371606161681997</v>
      </c>
      <c r="D13" s="566">
        <f>'WTP&amp;WTW (for chart)'!AG36</f>
        <v>5.485734017964667E-2</v>
      </c>
      <c r="E13" s="566">
        <f>'WTP&amp;WTW (for chart)'!AH36</f>
        <v>5.4857340179646663E-2</v>
      </c>
      <c r="F13" s="566">
        <f>'WTP&amp;WTW (for chart)'!AI36</f>
        <v>40.535911534159609</v>
      </c>
      <c r="G13" s="566">
        <f>'WTP&amp;WTW (for chart)'!AJ36</f>
        <v>4.5039901704621794</v>
      </c>
      <c r="H13" s="566">
        <f>'WTP&amp;WTW (for chart)'!AK36</f>
        <v>4.5039901704621785</v>
      </c>
    </row>
    <row r="14" spans="1:8">
      <c r="A14" s="541" t="str">
        <f>'WTP&amp;WTW (for chart)'!A37</f>
        <v>CI ICE-BTL (F-T) biodiesel</v>
      </c>
      <c r="B14" s="541" t="str">
        <f>'total(chart)'!C80</f>
        <v>费托生物柴油汽车</v>
      </c>
      <c r="C14" s="566">
        <f>'WTP&amp;WTW (for chart)'!AF37</f>
        <v>0.13279448000000002</v>
      </c>
      <c r="D14" s="566">
        <f>'WTP&amp;WTW (for chart)'!AG37</f>
        <v>3.3198620000000005E-2</v>
      </c>
      <c r="E14" s="566">
        <f>'WTP&amp;WTW (for chart)'!AH37</f>
        <v>3.3198620000000005E-2</v>
      </c>
      <c r="F14" s="566">
        <f>'WTP&amp;WTW (for chart)'!AI37</f>
        <v>16.57641439999999</v>
      </c>
      <c r="G14" s="566">
        <f>'WTP&amp;WTW (for chart)'!AJ37</f>
        <v>4.1441035999999976</v>
      </c>
      <c r="H14" s="566">
        <f>'WTP&amp;WTW (for chart)'!AK37</f>
        <v>4.1441035999999976</v>
      </c>
    </row>
    <row r="16" spans="1:8">
      <c r="D16" s="566">
        <f>C6/C3</f>
        <v>1.1204054522984315</v>
      </c>
      <c r="G16" s="566">
        <f>F6/F3</f>
        <v>2.1271082951218632</v>
      </c>
    </row>
    <row r="17" spans="4:7">
      <c r="D17" s="566">
        <f>C7/C3</f>
        <v>0.63729177004675874</v>
      </c>
      <c r="G17" s="566">
        <f>F7/F3</f>
        <v>0.96935196075245722</v>
      </c>
    </row>
    <row r="18" spans="4:7">
      <c r="D18" s="566">
        <f>C8/C3</f>
        <v>0.52867874435667972</v>
      </c>
      <c r="G18" s="566">
        <f>F8/F3</f>
        <v>0.69113836404439177</v>
      </c>
    </row>
    <row r="19" spans="4:7">
      <c r="D19" s="566">
        <f>C9/C3</f>
        <v>0.29054157334103969</v>
      </c>
      <c r="G19" s="566">
        <f>F9/F3</f>
        <v>0.34383146107312618</v>
      </c>
    </row>
    <row r="20" spans="4:7">
      <c r="D20" s="566">
        <f>C10/C4</f>
        <v>0.17803435143271082</v>
      </c>
      <c r="G20" s="566">
        <f>F10/F4</f>
        <v>4.4130637586818129E-2</v>
      </c>
    </row>
    <row r="21" spans="4:7">
      <c r="D21" s="566"/>
      <c r="G21" s="566"/>
    </row>
    <row r="22" spans="4:7">
      <c r="D22" s="566"/>
      <c r="G22" s="566"/>
    </row>
    <row r="23" spans="4:7">
      <c r="D23" s="566">
        <f>C12/C4</f>
        <v>0.76508668132922231</v>
      </c>
      <c r="G23" s="566">
        <f>F12/F4</f>
        <v>1.8309663753067227</v>
      </c>
    </row>
    <row r="24" spans="4:7">
      <c r="D24" s="566">
        <f>C13/C4</f>
        <v>0.16991493125785659</v>
      </c>
      <c r="G24" s="566">
        <f>F13/F4</f>
        <v>0.18795732749656457</v>
      </c>
    </row>
    <row r="25" spans="4:7">
      <c r="D25" s="566">
        <f>C14/C4</f>
        <v>4.5701905801344728E-2</v>
      </c>
      <c r="G25" s="566">
        <f>F14/F4</f>
        <v>7.6861687135714257E-2</v>
      </c>
    </row>
  </sheetData>
  <phoneticPr fontId="60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2" workbookViewId="0">
      <selection activeCell="H22" sqref="H22"/>
    </sheetView>
  </sheetViews>
  <sheetFormatPr defaultColWidth="8.88671875" defaultRowHeight="14.4"/>
  <cols>
    <col min="1" max="2" width="23.44140625" style="541" customWidth="1"/>
    <col min="3" max="3" width="12.88671875" style="541" customWidth="1"/>
    <col min="4" max="4" width="11.77734375" style="541" customWidth="1"/>
    <col min="5" max="5" width="10.44140625" style="541" customWidth="1"/>
    <col min="6" max="6" width="10.6640625" style="541" customWidth="1"/>
    <col min="7" max="7" width="11" style="541" customWidth="1"/>
    <col min="8" max="8" width="9.88671875" style="541" customWidth="1"/>
    <col min="9" max="16384" width="8.88671875" style="541"/>
  </cols>
  <sheetData>
    <row r="1" spans="1:8" s="585" customFormat="1" ht="43.2">
      <c r="C1" s="585" t="str">
        <f>'WTP&amp;WTW (for chart)'!AF1</f>
        <v>WTW fossil energy use</v>
      </c>
      <c r="D1" s="585" t="str">
        <f>'WTP&amp;WTW (for chart)'!AG1</f>
        <v>Upper limit of error</v>
      </c>
      <c r="E1" s="585" t="str">
        <f>'WTP&amp;WTW (for chart)'!AH1</f>
        <v>Lower limit of error</v>
      </c>
      <c r="F1" s="585" t="str">
        <f>'WTP&amp;WTW (for chart)'!AI1</f>
        <v>WTW GHG emission</v>
      </c>
      <c r="G1" s="585" t="str">
        <f>'WTP&amp;WTW (for chart)'!AJ1</f>
        <v>Upper limit of error</v>
      </c>
      <c r="H1" s="585" t="str">
        <f>'WTP&amp;WTW (for chart)'!AK1</f>
        <v>Lower limit of error</v>
      </c>
    </row>
    <row r="2" spans="1:8">
      <c r="C2" s="541" t="str">
        <f>'WTP&amp;WTW (for chart)'!AF2</f>
        <v>(MJ/km)</v>
      </c>
      <c r="F2" s="541" t="str">
        <f>'WTP&amp;WTW (for chart)'!AI2</f>
        <v>(g CO2e/km)</v>
      </c>
    </row>
    <row r="3" spans="1:8">
      <c r="A3" s="541" t="str">
        <f>'WTP&amp;WTW (for chart)'!A3</f>
        <v>SI ICE-Gasoline (8L/100km)</v>
      </c>
      <c r="B3" s="541" t="str">
        <f>'total(chart)'!C38</f>
        <v>汽油车</v>
      </c>
      <c r="C3" s="566">
        <f>'WTP&amp;WTW (for chart)'!AF3</f>
        <v>3.2156682733811834</v>
      </c>
      <c r="D3" s="566">
        <f>'WTP&amp;WTW (for chart)'!AG3</f>
        <v>0.16924569859900968</v>
      </c>
      <c r="E3" s="566">
        <f>'WTP&amp;WTW (for chart)'!AH3</f>
        <v>0.16924569859900968</v>
      </c>
      <c r="F3" s="566">
        <f>'WTP&amp;WTW (for chart)'!AI3</f>
        <v>231.89212423122973</v>
      </c>
      <c r="G3" s="566">
        <f>'WTP&amp;WTW (for chart)'!AJ3</f>
        <v>12.204848643748933</v>
      </c>
      <c r="H3" s="566">
        <f>'WTP&amp;WTW (for chart)'!AK3</f>
        <v>12.204848643748935</v>
      </c>
    </row>
    <row r="4" spans="1:8">
      <c r="A4" s="541" t="str">
        <f>'WTP&amp;WTW (for chart)'!A9</f>
        <v>CI ICE-Diesel</v>
      </c>
      <c r="B4" s="541" t="str">
        <f>'total(chart)'!C39</f>
        <v>柴油车</v>
      </c>
      <c r="C4" s="566">
        <f>'WTP&amp;WTW (for chart)'!AF9</f>
        <v>2.9056661351766362</v>
      </c>
      <c r="D4" s="566">
        <f>'WTP&amp;WTW (for chart)'!AG9</f>
        <v>0.15292979658824402</v>
      </c>
      <c r="E4" s="566">
        <f>'WTP&amp;WTW (for chart)'!AH9</f>
        <v>0.15292979658824402</v>
      </c>
      <c r="F4" s="566">
        <f>'WTP&amp;WTW (for chart)'!AI9</f>
        <v>215.66550277163583</v>
      </c>
      <c r="G4" s="566">
        <f>'WTP&amp;WTW (for chart)'!AJ9</f>
        <v>11.350815935349255</v>
      </c>
      <c r="H4" s="566">
        <f>'WTP&amp;WTW (for chart)'!AK9</f>
        <v>11.350815935349257</v>
      </c>
    </row>
    <row r="5" spans="1:8">
      <c r="C5" s="566"/>
      <c r="D5" s="566"/>
      <c r="E5" s="566"/>
      <c r="F5" s="566"/>
      <c r="G5" s="566"/>
      <c r="H5" s="566"/>
    </row>
    <row r="6" spans="1:8">
      <c r="A6" s="541" t="str">
        <f>'WTP&amp;WTW (for chart)'!A18</f>
        <v>SI ICE-Methanol from coal</v>
      </c>
      <c r="B6" s="541" t="str">
        <f>'total(chart)'!C50</f>
        <v>甲醇（煤基）汽车</v>
      </c>
      <c r="C6" s="566">
        <f>'WTP&amp;WTW (for chart)'!AF18</f>
        <v>5.2369749529880938</v>
      </c>
      <c r="D6" s="566">
        <f>'WTP&amp;WTW (for chart)'!AG18</f>
        <v>0.92417205052731077</v>
      </c>
      <c r="E6" s="566">
        <f>'WTP&amp;WTW (for chart)'!AH18</f>
        <v>1.3092437382470234</v>
      </c>
      <c r="F6" s="566">
        <f>'WTP&amp;WTW (for chart)'!AI18</f>
        <v>610.42389531027345</v>
      </c>
      <c r="G6" s="566">
        <f>'WTP&amp;WTW (for chart)'!AJ18</f>
        <v>107.72186387828356</v>
      </c>
      <c r="H6" s="566">
        <f>'WTP&amp;WTW (for chart)'!AK18</f>
        <v>152.60597382756836</v>
      </c>
    </row>
    <row r="7" spans="1:8">
      <c r="A7" s="541" t="str">
        <f>'WTP&amp;WTW (for chart)'!A19</f>
        <v>SI ICE-DME from coal</v>
      </c>
      <c r="B7" s="541" t="str">
        <f>'total(chart)'!C51</f>
        <v>DME（煤基）汽车</v>
      </c>
      <c r="C7" s="566">
        <f>'WTP&amp;WTW (for chart)'!AF19</f>
        <v>5.3935453474676089</v>
      </c>
      <c r="D7" s="566">
        <f>'WTP&amp;WTW (for chart)'!AG19</f>
        <v>0.9518021201413428</v>
      </c>
      <c r="E7" s="566">
        <f>'WTP&amp;WTW (for chart)'!AH19</f>
        <v>1.348386336866902</v>
      </c>
      <c r="F7" s="566">
        <f>'WTP&amp;WTW (for chart)'!AI19</f>
        <v>628.25526400000001</v>
      </c>
      <c r="G7" s="566">
        <f>'WTP&amp;WTW (for chart)'!AJ19</f>
        <v>110.868576</v>
      </c>
      <c r="H7" s="566">
        <f>'WTP&amp;WTW (for chart)'!AK19</f>
        <v>157.063816</v>
      </c>
    </row>
    <row r="8" spans="1:8">
      <c r="A8" s="541" t="str">
        <f>'WTP&amp;WTW (for chart)'!A20</f>
        <v>CI ICE-CTL</v>
      </c>
      <c r="B8" s="541" t="str">
        <f>'total(chart)'!C52</f>
        <v>CTL（煤基）汽车</v>
      </c>
      <c r="C8" s="566">
        <f>'WTP&amp;WTW (for chart)'!AF20</f>
        <v>6.1493342423119319</v>
      </c>
      <c r="D8" s="566">
        <f>'WTP&amp;WTW (for chart)'!AG20</f>
        <v>0.68325936025688139</v>
      </c>
      <c r="E8" s="566">
        <f>'WTP&amp;WTW (for chart)'!AH20</f>
        <v>1.0851766309962232</v>
      </c>
      <c r="F8" s="566">
        <f>'WTP&amp;WTW (for chart)'!AI20</f>
        <v>464.44116470554576</v>
      </c>
      <c r="G8" s="566">
        <f>'WTP&amp;WTW (for chart)'!AJ20</f>
        <v>51.604573856171754</v>
      </c>
      <c r="H8" s="566">
        <f>'WTP&amp;WTW (for chart)'!AK20</f>
        <v>81.960205536272781</v>
      </c>
    </row>
    <row r="9" spans="1:8">
      <c r="A9" s="541" t="str">
        <f>'WTP&amp;WTW (for chart)'!A21</f>
        <v>CI ICE-ICTL</v>
      </c>
      <c r="B9" s="541" t="str">
        <f>'total(chart)'!C53</f>
        <v>ICTL（煤基）汽车</v>
      </c>
      <c r="C9" s="566">
        <f>'WTP&amp;WTW (for chart)'!AF21</f>
        <v>6.1779816513761476</v>
      </c>
      <c r="D9" s="566">
        <f>'WTP&amp;WTW (for chart)'!AG21</f>
        <v>0.68644240570846093</v>
      </c>
      <c r="E9" s="566">
        <f>'WTP&amp;WTW (for chart)'!AH21</f>
        <v>1.0902320561252026</v>
      </c>
      <c r="F9" s="566">
        <f>'WTP&amp;WTW (for chart)'!AI21</f>
        <v>664.20135600000015</v>
      </c>
      <c r="G9" s="566">
        <f>'WTP&amp;WTW (for chart)'!AJ21</f>
        <v>73.800150666666681</v>
      </c>
      <c r="H9" s="566">
        <f>'WTP&amp;WTW (for chart)'!AK21</f>
        <v>117.21200400000002</v>
      </c>
    </row>
    <row r="10" spans="1:8">
      <c r="C10" s="566"/>
      <c r="D10" s="566"/>
      <c r="E10" s="566"/>
      <c r="F10" s="566"/>
      <c r="G10" s="566"/>
      <c r="H10" s="566"/>
    </row>
    <row r="11" spans="1:8">
      <c r="A11" s="541" t="str">
        <f>'WTP&amp;WTW (for chart)'!A23</f>
        <v>SI ICE-Methanol from coal (CCS)</v>
      </c>
      <c r="B11" s="541" t="str">
        <f>'total(chart)'!C55</f>
        <v>甲醇（煤基+CCS）汽车</v>
      </c>
      <c r="C11" s="566">
        <f>'WTP&amp;WTW (for chart)'!AF23</f>
        <v>6.6611947702313152</v>
      </c>
      <c r="D11" s="566">
        <f>'WTP&amp;WTW (for chart)'!AG23</f>
        <v>1.6652986925578288</v>
      </c>
      <c r="E11" s="566">
        <f>'WTP&amp;WTW (for chart)'!AH23</f>
        <v>2.2203982567437719</v>
      </c>
      <c r="F11" s="566">
        <f>'WTP&amp;WTW (for chart)'!AI23</f>
        <v>403.50054096780781</v>
      </c>
      <c r="G11" s="566">
        <f>'WTP&amp;WTW (for chart)'!AJ23</f>
        <v>100.87513524195195</v>
      </c>
      <c r="H11" s="566">
        <f>'WTP&amp;WTW (for chart)'!AK23</f>
        <v>134.5001803226026</v>
      </c>
    </row>
    <row r="12" spans="1:8">
      <c r="A12" s="541" t="str">
        <f>'WTP&amp;WTW (for chart)'!A24</f>
        <v>SI ICE-DME from coal (CCS)</v>
      </c>
      <c r="B12" s="541" t="str">
        <f>'total(chart)'!C56</f>
        <v>DME（煤基+CCS）汽车</v>
      </c>
      <c r="C12" s="566">
        <f>'WTP&amp;WTW (for chart)'!AF24</f>
        <v>6.5416000000000007</v>
      </c>
      <c r="D12" s="566">
        <f>'WTP&amp;WTW (for chart)'!AG24</f>
        <v>1.6354000000000002</v>
      </c>
      <c r="E12" s="566">
        <f>'WTP&amp;WTW (for chart)'!AH24</f>
        <v>2.1805333333333334</v>
      </c>
      <c r="F12" s="566">
        <f>'WTP&amp;WTW (for chart)'!AI24</f>
        <v>446.0062880000001</v>
      </c>
      <c r="G12" s="566">
        <f>'WTP&amp;WTW (for chart)'!AJ24</f>
        <v>111.50157200000002</v>
      </c>
      <c r="H12" s="566">
        <f>'WTP&amp;WTW (for chart)'!AK24</f>
        <v>148.66876266666671</v>
      </c>
    </row>
    <row r="13" spans="1:8">
      <c r="A13" s="541" t="str">
        <f>'WTP&amp;WTW (for chart)'!A25</f>
        <v>CI ICE-CTL(CCS)</v>
      </c>
      <c r="B13" s="541" t="str">
        <f>'total(chart)'!C57</f>
        <v>CTL（煤基+CCS）汽车</v>
      </c>
      <c r="C13" s="566">
        <f>'WTP&amp;WTW (for chart)'!AF25</f>
        <v>7.5801701280237612</v>
      </c>
      <c r="D13" s="566">
        <f>'WTP&amp;WTW (for chart)'!AG25</f>
        <v>1.3376770814159582</v>
      </c>
      <c r="E13" s="566">
        <f>'WTP&amp;WTW (for chart)'!AH25</f>
        <v>1.8950425320059405</v>
      </c>
      <c r="F13" s="566">
        <f>'WTP&amp;WTW (for chart)'!AI25</f>
        <v>344.1533734045081</v>
      </c>
      <c r="G13" s="566">
        <f>'WTP&amp;WTW (for chart)'!AJ25</f>
        <v>60.732948247854381</v>
      </c>
      <c r="H13" s="566">
        <f>'WTP&amp;WTW (for chart)'!AK25</f>
        <v>86.038343351127025</v>
      </c>
    </row>
    <row r="14" spans="1:8">
      <c r="A14" s="541" t="str">
        <f>'WTP&amp;WTW (for chart)'!A26</f>
        <v>CI ICE-ICTL(CCS)</v>
      </c>
      <c r="B14" s="541" t="str">
        <f>'total(chart)'!C58</f>
        <v>ICTL（煤基+CCS）汽车</v>
      </c>
      <c r="C14" s="566">
        <f>'WTP&amp;WTW (for chart)'!AF26</f>
        <v>6.8879663056558371</v>
      </c>
      <c r="D14" s="566">
        <f>'WTP&amp;WTW (for chart)'!AG26</f>
        <v>1.2155234657039715</v>
      </c>
      <c r="E14" s="566">
        <f>'WTP&amp;WTW (for chart)'!AH26</f>
        <v>1.7219915764139593</v>
      </c>
      <c r="F14" s="566">
        <f>'WTP&amp;WTW (for chart)'!AI26</f>
        <v>575.36642800000004</v>
      </c>
      <c r="G14" s="566">
        <f>'WTP&amp;WTW (for chart)'!AJ26</f>
        <v>101.53525200000003</v>
      </c>
      <c r="H14" s="566">
        <f>'WTP&amp;WTW (for chart)'!AK26</f>
        <v>143.84160700000001</v>
      </c>
    </row>
    <row r="16" spans="1:8">
      <c r="D16" s="566">
        <f>C6/C3</f>
        <v>1.6285805959336608</v>
      </c>
      <c r="E16" s="566"/>
      <c r="F16" s="566"/>
      <c r="G16" s="566">
        <f>F6/F3</f>
        <v>2.6323614798646342</v>
      </c>
    </row>
    <row r="17" spans="4:7">
      <c r="D17" s="566">
        <f>C7/C4</f>
        <v>1.8562164737965443</v>
      </c>
      <c r="E17" s="566"/>
      <c r="F17" s="566"/>
      <c r="G17" s="566">
        <f>F7/F4</f>
        <v>2.9131004074640892</v>
      </c>
    </row>
    <row r="18" spans="4:7">
      <c r="D18" s="566">
        <f>C8/C4</f>
        <v>2.1163251234774476</v>
      </c>
      <c r="E18" s="566"/>
      <c r="F18" s="566"/>
      <c r="G18" s="566">
        <f>F8/F4</f>
        <v>2.1535255232605923</v>
      </c>
    </row>
    <row r="19" spans="4:7">
      <c r="D19" s="566">
        <f>C9/C4</f>
        <v>2.1261842771900517</v>
      </c>
      <c r="E19" s="566"/>
      <c r="F19" s="566"/>
      <c r="G19" s="566">
        <f>F9/F4</f>
        <v>3.0797756129931941</v>
      </c>
    </row>
    <row r="20" spans="4:7">
      <c r="D20" s="566"/>
      <c r="E20" s="566"/>
      <c r="F20" s="566"/>
      <c r="G20" s="566"/>
    </row>
    <row r="21" spans="4:7">
      <c r="D21" s="566">
        <f>C11/C3</f>
        <v>2.0714807013433818</v>
      </c>
      <c r="E21" s="566"/>
      <c r="F21" s="566"/>
      <c r="G21" s="566">
        <f>F11/F3</f>
        <v>1.7400355544867916</v>
      </c>
    </row>
    <row r="22" spans="4:7">
      <c r="D22" s="566">
        <f>C12/C4</f>
        <v>2.2513254089332375</v>
      </c>
      <c r="E22" s="566"/>
      <c r="F22" s="566"/>
      <c r="G22" s="566">
        <f>F12/F4</f>
        <v>2.0680464991764018</v>
      </c>
    </row>
    <row r="23" spans="4:7">
      <c r="D23" s="566">
        <f>C13/C4</f>
        <v>2.6087546797811858</v>
      </c>
      <c r="E23" s="566"/>
      <c r="F23" s="566"/>
      <c r="G23" s="566">
        <f>F13/F4</f>
        <v>1.595773867315839</v>
      </c>
    </row>
    <row r="24" spans="4:7">
      <c r="D24" s="566">
        <f>C14/C4</f>
        <v>2.3705291610307859</v>
      </c>
      <c r="E24" s="566"/>
      <c r="F24" s="566"/>
      <c r="G24" s="566">
        <f>F14/F4</f>
        <v>2.6678649139785922</v>
      </c>
    </row>
  </sheetData>
  <phoneticPr fontId="60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G19" workbookViewId="0">
      <selection activeCell="Y45" sqref="Y45"/>
    </sheetView>
  </sheetViews>
  <sheetFormatPr defaultColWidth="8.88671875" defaultRowHeight="14.4"/>
  <cols>
    <col min="1" max="2" width="23.77734375" style="541" customWidth="1"/>
    <col min="3" max="3" width="9.77734375" style="541" customWidth="1"/>
    <col min="4" max="16384" width="8.88671875" style="541"/>
  </cols>
  <sheetData>
    <row r="1" spans="1:8" s="585" customFormat="1" ht="51" customHeight="1">
      <c r="C1" s="585" t="str">
        <f>'WTP&amp;WTW (for chart)'!AF1</f>
        <v>WTW fossil energy use</v>
      </c>
      <c r="D1" s="585" t="str">
        <f>'WTP&amp;WTW (for chart)'!AG1</f>
        <v>Upper limit of error</v>
      </c>
      <c r="E1" s="585" t="str">
        <f>'WTP&amp;WTW (for chart)'!AH1</f>
        <v>Lower limit of error</v>
      </c>
      <c r="F1" s="585" t="str">
        <f>'WTP&amp;WTW (for chart)'!AI1</f>
        <v>WTW GHG emission</v>
      </c>
      <c r="G1" s="585" t="str">
        <f>'WTP&amp;WTW (for chart)'!AJ1</f>
        <v>Upper limit of error</v>
      </c>
      <c r="H1" s="585" t="str">
        <f>'WTP&amp;WTW (for chart)'!AK1</f>
        <v>Lower limit of error</v>
      </c>
    </row>
    <row r="2" spans="1:8">
      <c r="C2" s="541" t="str">
        <f>'WTP&amp;WTW (for chart)'!AF2</f>
        <v>(MJ/km)</v>
      </c>
      <c r="F2" s="541" t="str">
        <f>'WTP&amp;WTW (for chart)'!AI2</f>
        <v>(g CO2e/km)</v>
      </c>
    </row>
    <row r="3" spans="1:8">
      <c r="A3" s="541" t="str">
        <f>'WTP&amp;WTW (for chart)'!A3</f>
        <v>SI ICE-Gasoline (8L/100km)</v>
      </c>
      <c r="B3" s="541" t="str">
        <f>'total(chart)'!C38</f>
        <v>汽油车</v>
      </c>
      <c r="C3" s="566">
        <f>'WTP&amp;WTW (for chart)'!AF3</f>
        <v>3.2156682733811834</v>
      </c>
      <c r="D3" s="566">
        <f>'WTP&amp;WTW (for chart)'!AG3</f>
        <v>0.16924569859900968</v>
      </c>
      <c r="E3" s="566">
        <f>'WTP&amp;WTW (for chart)'!AH3</f>
        <v>0.16924569859900968</v>
      </c>
      <c r="F3" s="566">
        <f>'WTP&amp;WTW (for chart)'!AI3</f>
        <v>231.89212423122973</v>
      </c>
      <c r="G3" s="566">
        <f>'WTP&amp;WTW (for chart)'!AJ3</f>
        <v>12.204848643748933</v>
      </c>
      <c r="H3" s="566">
        <f>'WTP&amp;WTW (for chart)'!AK3</f>
        <v>12.204848643748935</v>
      </c>
    </row>
    <row r="4" spans="1:8">
      <c r="A4" s="541" t="str">
        <f>'WTP&amp;WTW (for chart)'!A9</f>
        <v>CI ICE-Diesel</v>
      </c>
      <c r="B4" s="541" t="str">
        <f>'total(chart)'!C39</f>
        <v>柴油车</v>
      </c>
      <c r="C4" s="566">
        <f>'WTP&amp;WTW (for chart)'!AF9</f>
        <v>2.9056661351766362</v>
      </c>
      <c r="D4" s="566">
        <f>'WTP&amp;WTW (for chart)'!AG9</f>
        <v>0.15292979658824402</v>
      </c>
      <c r="E4" s="566">
        <f>'WTP&amp;WTW (for chart)'!AH9</f>
        <v>0.15292979658824402</v>
      </c>
      <c r="F4" s="566">
        <f>'WTP&amp;WTW (for chart)'!AI9</f>
        <v>215.66550277163583</v>
      </c>
      <c r="G4" s="566">
        <f>'WTP&amp;WTW (for chart)'!AJ9</f>
        <v>11.350815935349255</v>
      </c>
      <c r="H4" s="566">
        <f>'WTP&amp;WTW (for chart)'!AK9</f>
        <v>11.350815935349257</v>
      </c>
    </row>
    <row r="5" spans="1:8">
      <c r="C5" s="566"/>
      <c r="D5" s="566"/>
      <c r="E5" s="566"/>
      <c r="F5" s="566"/>
      <c r="G5" s="566"/>
      <c r="H5" s="566"/>
    </row>
    <row r="6" spans="1:8">
      <c r="A6" s="541" t="str">
        <f>'WTP&amp;WTW (for chart)'!A39</f>
        <v>BEV-Grid power (20.3KWh/100km)</v>
      </c>
      <c r="B6" s="541" t="str">
        <f>'total(chart)'!C61</f>
        <v>纯电动汽车（网电）</v>
      </c>
      <c r="C6" s="566">
        <f>'WTP&amp;WTW (for chart)'!AF39</f>
        <v>2.6009834170840636</v>
      </c>
      <c r="D6" s="566">
        <f>'WTP&amp;WTW (for chart)'!AG39</f>
        <v>0.28899815745378488</v>
      </c>
      <c r="E6" s="566">
        <f>'WTP&amp;WTW (for chart)'!AH39</f>
        <v>0.28899815745378482</v>
      </c>
      <c r="F6" s="566">
        <f>'WTP&amp;WTW (for chart)'!AI39</f>
        <v>230.1040297570008</v>
      </c>
      <c r="G6" s="566">
        <f>'WTP&amp;WTW (for chart)'!AJ39</f>
        <v>25.567114417444536</v>
      </c>
      <c r="H6" s="566">
        <f>'WTP&amp;WTW (for chart)'!AK39</f>
        <v>25.567114417444536</v>
      </c>
    </row>
    <row r="7" spans="1:8">
      <c r="C7" s="566"/>
      <c r="D7" s="566"/>
      <c r="E7" s="566"/>
      <c r="F7" s="566"/>
      <c r="G7" s="566"/>
      <c r="H7" s="566"/>
    </row>
    <row r="8" spans="1:8">
      <c r="A8" s="541" t="str">
        <f>'WTP&amp;WTW (for chart)'!A44</f>
        <v>BEV-Coal power</v>
      </c>
      <c r="B8" s="541" t="str">
        <f>'total(chart)'!C63</f>
        <v>纯电动汽车（煤电）</v>
      </c>
      <c r="C8" s="566">
        <f>'WTP&amp;WTW (for chart)'!AF44</f>
        <v>3.2516774197888685</v>
      </c>
      <c r="D8" s="566">
        <f>'WTP&amp;WTW (for chart)'!AG44</f>
        <v>0.36129749108765208</v>
      </c>
      <c r="E8" s="566">
        <f>'WTP&amp;WTW (for chart)'!AH44</f>
        <v>0.36129749108765208</v>
      </c>
      <c r="F8" s="566">
        <f>'WTP&amp;WTW (for chart)'!AI44</f>
        <v>295.54890121784319</v>
      </c>
      <c r="G8" s="566">
        <f>'WTP&amp;WTW (for chart)'!AJ44</f>
        <v>32.83876680198258</v>
      </c>
      <c r="H8" s="566">
        <f>'WTP&amp;WTW (for chart)'!AK44</f>
        <v>32.83876680198258</v>
      </c>
    </row>
    <row r="9" spans="1:8">
      <c r="A9" s="541" t="str">
        <f>'WTP&amp;WTW (for chart)'!A45</f>
        <v>BEV-Oil power</v>
      </c>
      <c r="B9" s="541" t="str">
        <f>'total(chart)'!C64</f>
        <v>纯电动汽车（油电）</v>
      </c>
      <c r="C9" s="566">
        <f>'WTP&amp;WTW (for chart)'!AF45</f>
        <v>4.1840578279865541</v>
      </c>
      <c r="D9" s="566">
        <f>'WTP&amp;WTW (for chart)'!AG45</f>
        <v>0.46489531422072827</v>
      </c>
      <c r="E9" s="566">
        <f>'WTP&amp;WTW (for chart)'!AH45</f>
        <v>0.46489531422072822</v>
      </c>
      <c r="F9" s="566">
        <f>'WTP&amp;WTW (for chart)'!AI45</f>
        <v>317.08247496876356</v>
      </c>
      <c r="G9" s="566">
        <f>'WTP&amp;WTW (for chart)'!AJ45</f>
        <v>35.231386107640397</v>
      </c>
      <c r="H9" s="566">
        <f>'WTP&amp;WTW (for chart)'!AK45</f>
        <v>35.231386107640397</v>
      </c>
    </row>
    <row r="10" spans="1:8">
      <c r="A10" s="541" t="str">
        <f>'WTP&amp;WTW (for chart)'!A46</f>
        <v>BEV-Gas power</v>
      </c>
      <c r="B10" s="541" t="str">
        <f>'total(chart)'!C65</f>
        <v>纯电动汽车（气电）</v>
      </c>
      <c r="C10" s="566">
        <f>'WTP&amp;WTW (for chart)'!AF46</f>
        <v>2.6814410377091997</v>
      </c>
      <c r="D10" s="566">
        <f>'WTP&amp;WTW (for chart)'!AG46</f>
        <v>0.29793789307879998</v>
      </c>
      <c r="E10" s="566">
        <f>'WTP&amp;WTW (for chart)'!AH46</f>
        <v>0.29793789307879998</v>
      </c>
      <c r="F10" s="566">
        <f>'WTP&amp;WTW (for chart)'!AI46</f>
        <v>159.69094623594196</v>
      </c>
      <c r="G10" s="566">
        <f>'WTP&amp;WTW (for chart)'!AJ46</f>
        <v>17.74343847066022</v>
      </c>
      <c r="H10" s="566">
        <f>'WTP&amp;WTW (for chart)'!AK46</f>
        <v>17.74343847066022</v>
      </c>
    </row>
    <row r="11" spans="1:8">
      <c r="A11" s="541" t="str">
        <f>'WTP&amp;WTW (for chart)'!A47</f>
        <v>BEV-Nuclear power</v>
      </c>
      <c r="B11" s="541" t="str">
        <f>'total(chart)'!C66</f>
        <v>纯电动汽车（核电）</v>
      </c>
      <c r="C11" s="566">
        <f>'WTP&amp;WTW (for chart)'!AF47</f>
        <v>6.4303448275862068E-2</v>
      </c>
      <c r="D11" s="566">
        <f>'WTP&amp;WTW (for chart)'!AG47</f>
        <v>7.1448275862068967E-3</v>
      </c>
      <c r="E11" s="566">
        <f>'WTP&amp;WTW (for chart)'!AH47</f>
        <v>7.1448275862068967E-3</v>
      </c>
      <c r="F11" s="566">
        <f>'WTP&amp;WTW (for chart)'!AI47</f>
        <v>6.63448275862069</v>
      </c>
      <c r="G11" s="566">
        <f>'WTP&amp;WTW (for chart)'!AJ47</f>
        <v>0.7371647509578545</v>
      </c>
      <c r="H11" s="566">
        <f>'WTP&amp;WTW (for chart)'!AK47</f>
        <v>0.73716475095785439</v>
      </c>
    </row>
    <row r="12" spans="1:8">
      <c r="A12" s="541" t="str">
        <f>'WTP&amp;WTW (for chart)'!A48</f>
        <v>BEV-Large Hydro power</v>
      </c>
      <c r="B12" s="541" t="str">
        <f>'total(chart)'!C67</f>
        <v>纯电动汽车（大水电）</v>
      </c>
      <c r="C12" s="566">
        <f>'WTP&amp;WTW (for chart)'!AF48</f>
        <v>0</v>
      </c>
      <c r="D12" s="566">
        <f>'WTP&amp;WTW (for chart)'!AG48</f>
        <v>0</v>
      </c>
      <c r="E12" s="566">
        <f>'WTP&amp;WTW (for chart)'!AH48</f>
        <v>0</v>
      </c>
      <c r="F12" s="566">
        <f>'WTP&amp;WTW (for chart)'!AI48</f>
        <v>5.1034482758620694</v>
      </c>
      <c r="G12" s="566">
        <f>'WTP&amp;WTW (for chart)'!AJ48</f>
        <v>0</v>
      </c>
      <c r="H12" s="566">
        <f>'WTP&amp;WTW (for chart)'!AK48</f>
        <v>0</v>
      </c>
    </row>
    <row r="13" spans="1:8">
      <c r="A13" s="541" t="str">
        <f>'WTP&amp;WTW (for chart)'!A49</f>
        <v>BEV-Biopower</v>
      </c>
      <c r="B13" s="541" t="str">
        <f>'total(chart)'!C68</f>
        <v>纯电动汽车（生物质电）</v>
      </c>
      <c r="C13" s="566">
        <f>'WTP&amp;WTW (for chart)'!AF49</f>
        <v>7.7572413793103451E-2</v>
      </c>
      <c r="D13" s="566">
        <f>'WTP&amp;WTW (for chart)'!AG49</f>
        <v>8.619157088122607E-3</v>
      </c>
      <c r="E13" s="566">
        <f>'WTP&amp;WTW (for chart)'!AH49</f>
        <v>8.6191570881226053E-3</v>
      </c>
      <c r="F13" s="566">
        <f>'WTP&amp;WTW (for chart)'!AI49</f>
        <v>5.92</v>
      </c>
      <c r="G13" s="566">
        <f>'WTP&amp;WTW (for chart)'!AJ49</f>
        <v>0.65777777777777779</v>
      </c>
      <c r="H13" s="566">
        <f>'WTP&amp;WTW (for chart)'!AK49</f>
        <v>0.65777777777777768</v>
      </c>
    </row>
    <row r="14" spans="1:8">
      <c r="A14" s="541" t="str">
        <f>'WTP&amp;WTW (for chart)'!A51</f>
        <v>BEV-Coal power(IGCC+CCS)</v>
      </c>
      <c r="B14" s="541" t="str">
        <f>'total(chart)'!C69</f>
        <v>纯电动汽车（煤电IGCC+CCS）</v>
      </c>
      <c r="C14" s="566">
        <f>'WTP&amp;WTW (for chart)'!AF51</f>
        <v>3.6412819192384651</v>
      </c>
      <c r="D14" s="566">
        <f>'WTP&amp;WTW (for chart)'!AG51</f>
        <v>0.64257916221855271</v>
      </c>
      <c r="E14" s="566">
        <f>'WTP&amp;WTW (for chart)'!AH51</f>
        <v>0.64257916221855271</v>
      </c>
      <c r="F14" s="566">
        <f>'WTP&amp;WTW (for chart)'!AI51</f>
        <v>96.054249391544602</v>
      </c>
      <c r="G14" s="566">
        <f>'WTP&amp;WTW (for chart)'!AJ51</f>
        <v>16.95074989262552</v>
      </c>
      <c r="H14" s="566">
        <f>'WTP&amp;WTW (for chart)'!AK51</f>
        <v>16.950749892625517</v>
      </c>
    </row>
  </sheetData>
  <phoneticPr fontId="60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67" workbookViewId="0">
      <selection activeCell="G88" sqref="G88"/>
    </sheetView>
  </sheetViews>
  <sheetFormatPr defaultColWidth="8.88671875" defaultRowHeight="14.4"/>
  <cols>
    <col min="1" max="1" width="8.88671875" style="541"/>
    <col min="2" max="2" width="24.21875" style="541" customWidth="1"/>
    <col min="3" max="3" width="19.6640625" style="541" customWidth="1"/>
    <col min="4" max="5" width="10.44140625" style="541" customWidth="1"/>
    <col min="6" max="6" width="12.109375" style="541" customWidth="1"/>
    <col min="7" max="7" width="11.77734375" style="541" customWidth="1"/>
    <col min="8" max="9" width="11" style="541" customWidth="1"/>
    <col min="10" max="16384" width="8.88671875" style="541"/>
  </cols>
  <sheetData>
    <row r="1" spans="1:9">
      <c r="A1" s="492" t="s">
        <v>769</v>
      </c>
    </row>
    <row r="2" spans="1:9">
      <c r="A2" s="492" t="s">
        <v>770</v>
      </c>
    </row>
    <row r="4" spans="1:9">
      <c r="A4" s="541" t="s">
        <v>769</v>
      </c>
      <c r="E4" s="566"/>
      <c r="H4" s="566"/>
    </row>
    <row r="5" spans="1:9">
      <c r="C5" s="557"/>
      <c r="D5" s="564" t="str">
        <f>'NG-based (chart)'!C1</f>
        <v>WTW fossil energy use</v>
      </c>
      <c r="E5" s="564" t="str">
        <f>'NG-based (chart)'!D1</f>
        <v>Upper limit of error</v>
      </c>
      <c r="F5" s="564" t="str">
        <f>'NG-based (chart)'!E1</f>
        <v>Lower limit of error</v>
      </c>
      <c r="G5" s="564" t="str">
        <f>'NG-based (chart)'!F1</f>
        <v>WTW GHG emission</v>
      </c>
      <c r="H5" s="564" t="str">
        <f>'NG-based (chart)'!G1</f>
        <v>Upper limit of error</v>
      </c>
      <c r="I5" s="556" t="str">
        <f>'NG-based (chart)'!H1</f>
        <v>Lower limit of error</v>
      </c>
    </row>
    <row r="6" spans="1:9">
      <c r="C6" s="555"/>
      <c r="D6" s="563" t="str">
        <f>'NG-based (chart)'!C2</f>
        <v>(MJ/km)</v>
      </c>
      <c r="E6" s="563"/>
      <c r="F6" s="563"/>
      <c r="G6" s="563" t="str">
        <f>'NG-based (chart)'!F2</f>
        <v>(g CO2e/km)</v>
      </c>
      <c r="H6" s="563"/>
      <c r="I6" s="554"/>
    </row>
    <row r="7" spans="1:9">
      <c r="B7" s="541" t="str">
        <f>'NG-based (chart)'!A3</f>
        <v>SI ICE-Gasoline (8L/100km)</v>
      </c>
      <c r="C7" s="555" t="str">
        <f>'NG-based (chart)'!B3</f>
        <v>汽油车</v>
      </c>
      <c r="D7" s="598">
        <f>'NG-based (chart)'!C3</f>
        <v>3.2156682733811834</v>
      </c>
      <c r="E7" s="598">
        <f>'NG-based (chart)'!D3</f>
        <v>0.16924569859900968</v>
      </c>
      <c r="F7" s="598">
        <f>'NG-based (chart)'!E3</f>
        <v>0.16924569859900968</v>
      </c>
      <c r="G7" s="598">
        <f>'NG-based (chart)'!F3</f>
        <v>231.89212423122973</v>
      </c>
      <c r="H7" s="598">
        <f>'NG-based (chart)'!G3</f>
        <v>12.204848643748933</v>
      </c>
      <c r="I7" s="597">
        <f>'NG-based (chart)'!H3</f>
        <v>12.204848643748935</v>
      </c>
    </row>
    <row r="8" spans="1:9">
      <c r="B8" s="541" t="str">
        <f>'NG-based (chart)'!A4</f>
        <v>CI ICE-Diesel</v>
      </c>
      <c r="C8" s="555" t="str">
        <f>'NG-based (chart)'!B4</f>
        <v>柴油车</v>
      </c>
      <c r="D8" s="598">
        <f>'NG-based (chart)'!C4</f>
        <v>2.9056661351766362</v>
      </c>
      <c r="E8" s="598">
        <f>'NG-based (chart)'!D4</f>
        <v>0.15292979658824402</v>
      </c>
      <c r="F8" s="598">
        <f>'NG-based (chart)'!E4</f>
        <v>0.15292979658824402</v>
      </c>
      <c r="G8" s="598">
        <f>'NG-based (chart)'!F4</f>
        <v>215.66550277163583</v>
      </c>
      <c r="H8" s="598">
        <f>'NG-based (chart)'!G4</f>
        <v>11.350815935349255</v>
      </c>
      <c r="I8" s="597">
        <f>'NG-based (chart)'!H4</f>
        <v>11.350815935349257</v>
      </c>
    </row>
    <row r="9" spans="1:9">
      <c r="C9" s="555"/>
      <c r="D9" s="563"/>
      <c r="E9" s="563"/>
      <c r="F9" s="563"/>
      <c r="G9" s="563"/>
      <c r="H9" s="563"/>
      <c r="I9" s="554"/>
    </row>
    <row r="10" spans="1:9">
      <c r="B10" s="541" t="str">
        <f>'NG-based (chart)'!A6</f>
        <v>SI ICE-LPG</v>
      </c>
      <c r="C10" s="555" t="str">
        <f>'NG-based (chart)'!B6</f>
        <v>LPG车</v>
      </c>
      <c r="D10" s="598">
        <f>'NG-based (chart)'!C6</f>
        <v>3.1912734652460677</v>
      </c>
      <c r="E10" s="598">
        <f>'NG-based (chart)'!D6</f>
        <v>0.16796176132874041</v>
      </c>
      <c r="F10" s="598">
        <f>'NG-based (chart)'!E6</f>
        <v>0.16796176132874041</v>
      </c>
      <c r="G10" s="598">
        <f>'NG-based (chart)'!F6</f>
        <v>227.69800000000001</v>
      </c>
      <c r="H10" s="598">
        <f>'NG-based (chart)'!G6</f>
        <v>11.984105263157897</v>
      </c>
      <c r="I10" s="597">
        <f>'NG-based (chart)'!H6</f>
        <v>11.984105263157897</v>
      </c>
    </row>
    <row r="11" spans="1:9">
      <c r="B11" s="541" t="str">
        <f>'NG-based (chart)'!A7</f>
        <v>SI ICE-CNG</v>
      </c>
      <c r="C11" s="555" t="str">
        <f>'NG-based (chart)'!B7</f>
        <v>CNG车</v>
      </c>
      <c r="D11" s="598">
        <f>'NG-based (chart)'!C7</f>
        <v>3.2004182665971324</v>
      </c>
      <c r="E11" s="598">
        <f>'NG-based (chart)'!D7</f>
        <v>0.35560202962190363</v>
      </c>
      <c r="F11" s="598">
        <f>'NG-based (chart)'!E7</f>
        <v>0.35560202962190363</v>
      </c>
      <c r="G11" s="598">
        <f>'NG-based (chart)'!F7</f>
        <v>193.91576201711052</v>
      </c>
      <c r="H11" s="598">
        <f>'NG-based (chart)'!G7</f>
        <v>21.54619577967895</v>
      </c>
      <c r="I11" s="597">
        <f>'NG-based (chart)'!H7</f>
        <v>21.54619577967895</v>
      </c>
    </row>
    <row r="12" spans="1:9">
      <c r="B12" s="541" t="str">
        <f>'NG-based (chart)'!A8</f>
        <v>SI ICE-LNG1</v>
      </c>
      <c r="C12" s="555" t="str">
        <f>'NG-based (chart)'!B8</f>
        <v>LNG车(海外进口)</v>
      </c>
      <c r="D12" s="598">
        <f>'NG-based (chart)'!C8</f>
        <v>3.2433822205019567</v>
      </c>
      <c r="E12" s="598">
        <f>'NG-based (chart)'!D8</f>
        <v>0.17070432739483984</v>
      </c>
      <c r="F12" s="598">
        <f>'NG-based (chart)'!E8</f>
        <v>0.17070432739483984</v>
      </c>
      <c r="G12" s="598">
        <f>'NG-based (chart)'!F8</f>
        <v>192.15410611989452</v>
      </c>
      <c r="H12" s="598">
        <f>'NG-based (chart)'!G8</f>
        <v>10.113374006310238</v>
      </c>
      <c r="I12" s="597">
        <f>'NG-based (chart)'!H8</f>
        <v>10.11337400631024</v>
      </c>
    </row>
    <row r="13" spans="1:9">
      <c r="B13" s="541" t="str">
        <f>'NG-based (chart)'!A9</f>
        <v>SI ICE-LNG2</v>
      </c>
      <c r="C13" s="555" t="str">
        <f>'NG-based (chart)'!B9</f>
        <v>LNG车(井口液化)</v>
      </c>
      <c r="D13" s="598">
        <f>'NG-based (chart)'!C9</f>
        <v>3.1949738200975157</v>
      </c>
      <c r="E13" s="598">
        <f>'NG-based (chart)'!D9</f>
        <v>0.16815651684723767</v>
      </c>
      <c r="F13" s="598">
        <f>'NG-based (chart)'!E9</f>
        <v>0.16815651684723767</v>
      </c>
      <c r="G13" s="598">
        <f>'NG-based (chart)'!F9</f>
        <v>199.25414675722294</v>
      </c>
      <c r="H13" s="598">
        <f>'NG-based (chart)'!G9</f>
        <v>10.487060355643314</v>
      </c>
      <c r="I13" s="597">
        <f>'NG-based (chart)'!H9</f>
        <v>10.487060355643314</v>
      </c>
    </row>
    <row r="14" spans="1:9">
      <c r="B14" s="541" t="str">
        <f>'NG-based (chart)'!A10</f>
        <v>SI ICE-LNG3</v>
      </c>
      <c r="C14" s="555" t="str">
        <f>'NG-based (chart)'!B10</f>
        <v>LNG车(管道气液化)</v>
      </c>
      <c r="D14" s="598">
        <f>'NG-based (chart)'!C10</f>
        <v>3.2331423800253454</v>
      </c>
      <c r="E14" s="598">
        <f>'NG-based (chart)'!D10</f>
        <v>0.1701653884223866</v>
      </c>
      <c r="F14" s="598">
        <f>'NG-based (chart)'!E10</f>
        <v>0.17016538842238663</v>
      </c>
      <c r="G14" s="598">
        <f>'NG-based (chart)'!F10</f>
        <v>201.78284871511357</v>
      </c>
      <c r="H14" s="598">
        <f>'NG-based (chart)'!G10</f>
        <v>10.6201499323744</v>
      </c>
      <c r="I14" s="597">
        <f>'NG-based (chart)'!H10</f>
        <v>10.6201499323744</v>
      </c>
    </row>
    <row r="15" spans="1:9">
      <c r="B15" s="541" t="str">
        <f>'NG-based (chart)'!A11</f>
        <v>CI ICE-GTL</v>
      </c>
      <c r="C15" s="553" t="str">
        <f>'NG-based (chart)'!B11</f>
        <v>GTL车</v>
      </c>
      <c r="D15" s="596">
        <f>'NG-based (chart)'!C11</f>
        <v>4.8909949918127262</v>
      </c>
      <c r="E15" s="596">
        <f>'NG-based (chart)'!D11</f>
        <v>0.86311676326106934</v>
      </c>
      <c r="F15" s="596">
        <f>'NG-based (chart)'!E11</f>
        <v>0.86311676326106934</v>
      </c>
      <c r="G15" s="596">
        <f>'NG-based (chart)'!F11</f>
        <v>490.66161570898089</v>
      </c>
      <c r="H15" s="596">
        <f>'NG-based (chart)'!G11</f>
        <v>86.587343948643692</v>
      </c>
      <c r="I15" s="595">
        <f>'NG-based (chart)'!H11</f>
        <v>86.587343948643692</v>
      </c>
    </row>
    <row r="17" spans="2:8">
      <c r="B17" s="557"/>
      <c r="C17" s="564"/>
      <c r="D17" s="564" t="str">
        <f>'NG-based (chart)'!C13</f>
        <v>能耗</v>
      </c>
      <c r="E17" s="564" t="s">
        <v>768</v>
      </c>
      <c r="F17" s="564"/>
      <c r="G17" s="564" t="str">
        <f>'NG-based (chart)'!F13</f>
        <v>排放</v>
      </c>
      <c r="H17" s="556" t="s">
        <v>767</v>
      </c>
    </row>
    <row r="18" spans="2:8">
      <c r="B18" s="555" t="str">
        <f>'NG-based (chart)'!A14</f>
        <v>相对汽油车</v>
      </c>
      <c r="C18" s="563" t="str">
        <f>'NG-based (chart)'!B14</f>
        <v>LPG车</v>
      </c>
      <c r="D18" s="593">
        <f>'NG-based (chart)'!C14</f>
        <v>0.99241376719823615</v>
      </c>
      <c r="E18" s="594">
        <f t="shared" ref="E18:E23" si="0">1-D18</f>
        <v>7.5862328017638481E-3</v>
      </c>
      <c r="F18" s="563"/>
      <c r="G18" s="593">
        <f>'NG-based (chart)'!F14</f>
        <v>0.9819134684063372</v>
      </c>
      <c r="H18" s="592">
        <f t="shared" ref="H18:H23" si="1">1-G18</f>
        <v>1.8086531593662802E-2</v>
      </c>
    </row>
    <row r="19" spans="2:8">
      <c r="B19" s="555"/>
      <c r="C19" s="563" t="str">
        <f>'NG-based (chart)'!B15</f>
        <v>CNG车</v>
      </c>
      <c r="D19" s="593">
        <f>'NG-based (chart)'!C15</f>
        <v>0.9952575932939699</v>
      </c>
      <c r="E19" s="594">
        <f t="shared" si="0"/>
        <v>4.7424067060301001E-3</v>
      </c>
      <c r="F19" s="563"/>
      <c r="G19" s="593">
        <f>'NG-based (chart)'!F15</f>
        <v>0.83623263472177556</v>
      </c>
      <c r="H19" s="592">
        <f t="shared" si="1"/>
        <v>0.16376736527822444</v>
      </c>
    </row>
    <row r="20" spans="2:8">
      <c r="B20" s="555"/>
      <c r="C20" s="563" t="str">
        <f>'NG-based (chart)'!B16</f>
        <v>LNG车(海外进口)</v>
      </c>
      <c r="D20" s="593">
        <f>'NG-based (chart)'!C16</f>
        <v>1.0086184098497302</v>
      </c>
      <c r="E20" s="594">
        <f t="shared" si="0"/>
        <v>-8.6184098497301687E-3</v>
      </c>
      <c r="F20" s="563"/>
      <c r="G20" s="593">
        <f>'NG-based (chart)'!F16</f>
        <v>0.82863575792806698</v>
      </c>
      <c r="H20" s="592">
        <f t="shared" si="1"/>
        <v>0.17136424207193302</v>
      </c>
    </row>
    <row r="21" spans="2:8">
      <c r="B21" s="555"/>
      <c r="C21" s="563" t="str">
        <f>'NG-based (chart)'!B17</f>
        <v>LNG车(井口液化)</v>
      </c>
      <c r="D21" s="593">
        <f>'NG-based (chart)'!C17</f>
        <v>0.99356449374614497</v>
      </c>
      <c r="E21" s="594">
        <f t="shared" si="0"/>
        <v>6.4355062538550278E-3</v>
      </c>
      <c r="F21" s="563"/>
      <c r="G21" s="593">
        <f>'NG-based (chart)'!F17</f>
        <v>0.85925361811140233</v>
      </c>
      <c r="H21" s="592">
        <f t="shared" si="1"/>
        <v>0.14074638188859767</v>
      </c>
    </row>
    <row r="22" spans="2:8">
      <c r="B22" s="555"/>
      <c r="C22" s="563" t="str">
        <f>'NG-based (chart)'!B18</f>
        <v>LNG车(管道气液化)</v>
      </c>
      <c r="D22" s="593">
        <f>'NG-based (chart)'!C18</f>
        <v>1.0054340513879525</v>
      </c>
      <c r="E22" s="594">
        <f t="shared" si="0"/>
        <v>-5.4340513879524988E-3</v>
      </c>
      <c r="F22" s="563"/>
      <c r="G22" s="593">
        <f>'NG-based (chart)'!F18</f>
        <v>0.87015826597848189</v>
      </c>
      <c r="H22" s="592">
        <f t="shared" si="1"/>
        <v>0.12984173402151811</v>
      </c>
    </row>
    <row r="23" spans="2:8">
      <c r="B23" s="553"/>
      <c r="C23" s="561" t="str">
        <f>'NG-based (chart)'!B19</f>
        <v>GTL车</v>
      </c>
      <c r="D23" s="590">
        <f>'NG-based (chart)'!C19</f>
        <v>1.6832611746412502</v>
      </c>
      <c r="E23" s="591">
        <f t="shared" si="0"/>
        <v>-0.68326117464125025</v>
      </c>
      <c r="F23" s="561"/>
      <c r="G23" s="590">
        <f>'NG-based (chart)'!F19</f>
        <v>2.2751047775523623</v>
      </c>
      <c r="H23" s="589">
        <f t="shared" si="1"/>
        <v>-1.2751047775523623</v>
      </c>
    </row>
    <row r="25" spans="2:8">
      <c r="B25" s="557" t="str">
        <f>'NG-based (chart)'!A21</f>
        <v>相对柴油车</v>
      </c>
      <c r="C25" s="564"/>
      <c r="D25" s="564" t="str">
        <f>'NG-based (chart)'!C21</f>
        <v>能耗</v>
      </c>
      <c r="E25" s="564" t="s">
        <v>768</v>
      </c>
      <c r="F25" s="564"/>
      <c r="G25" s="564" t="str">
        <f>'NG-based (chart)'!F21</f>
        <v>排放</v>
      </c>
      <c r="H25" s="556" t="s">
        <v>767</v>
      </c>
    </row>
    <row r="26" spans="2:8">
      <c r="B26" s="555"/>
      <c r="C26" s="563" t="str">
        <f>'NG-based (chart)'!B22</f>
        <v>LPG车</v>
      </c>
      <c r="D26" s="593">
        <f>'NG-based (chart)'!C22</f>
        <v>1.0982932370005645</v>
      </c>
      <c r="E26" s="594">
        <f t="shared" ref="E26:E31" si="2">1-D26</f>
        <v>-9.8293237000564471E-2</v>
      </c>
      <c r="F26" s="563"/>
      <c r="G26" s="593">
        <f>'NG-based (chart)'!F22</f>
        <v>1.0557924057103614</v>
      </c>
      <c r="H26" s="592">
        <f t="shared" ref="H26:H31" si="3">1-G26</f>
        <v>-5.579240571036137E-2</v>
      </c>
    </row>
    <row r="27" spans="2:8">
      <c r="B27" s="555"/>
      <c r="C27" s="563" t="str">
        <f>'NG-based (chart)'!B23</f>
        <v>CNG车</v>
      </c>
      <c r="D27" s="593">
        <f>'NG-based (chart)'!C23</f>
        <v>1.1014404675926672</v>
      </c>
      <c r="E27" s="594">
        <f t="shared" si="2"/>
        <v>-0.10144046759266723</v>
      </c>
      <c r="F27" s="563"/>
      <c r="G27" s="593">
        <f>'NG-based (chart)'!F23</f>
        <v>0.89915058052860819</v>
      </c>
      <c r="H27" s="592">
        <f t="shared" si="3"/>
        <v>0.10084941947139181</v>
      </c>
    </row>
    <row r="28" spans="2:8">
      <c r="B28" s="555"/>
      <c r="C28" s="563" t="str">
        <f>'NG-based (chart)'!B24</f>
        <v>LNG车(海外进口)</v>
      </c>
      <c r="D28" s="593">
        <f>'NG-based (chart)'!C24</f>
        <v>1.1162267341167849</v>
      </c>
      <c r="E28" s="594">
        <f t="shared" si="2"/>
        <v>-0.11622673411678486</v>
      </c>
      <c r="F28" s="563"/>
      <c r="G28" s="593">
        <f>'NG-based (chart)'!F24</f>
        <v>0.89098211652033621</v>
      </c>
      <c r="H28" s="592">
        <f t="shared" si="3"/>
        <v>0.10901788347966379</v>
      </c>
    </row>
    <row r="29" spans="2:8">
      <c r="B29" s="555"/>
      <c r="C29" s="563" t="str">
        <f>'NG-based (chart)'!B25</f>
        <v>LNG车(井口液化)</v>
      </c>
      <c r="D29" s="593">
        <f>'NG-based (chart)'!C25</f>
        <v>1.0995667332245975</v>
      </c>
      <c r="E29" s="594">
        <f t="shared" si="2"/>
        <v>-9.9566733224597526E-2</v>
      </c>
      <c r="F29" s="563"/>
      <c r="G29" s="593">
        <f>'NG-based (chart)'!F25</f>
        <v>0.92390365726784518</v>
      </c>
      <c r="H29" s="592">
        <f t="shared" si="3"/>
        <v>7.609634273215482E-2</v>
      </c>
    </row>
    <row r="30" spans="2:8">
      <c r="B30" s="555"/>
      <c r="C30" s="563" t="str">
        <f>'NG-based (chart)'!B26</f>
        <v>LNG车(管道气液化)</v>
      </c>
      <c r="D30" s="593">
        <f>'NG-based (chart)'!C26</f>
        <v>1.1127026401568334</v>
      </c>
      <c r="E30" s="594">
        <f t="shared" si="2"/>
        <v>-0.1127026401568334</v>
      </c>
      <c r="F30" s="563"/>
      <c r="G30" s="593">
        <f>'NG-based (chart)'!F26</f>
        <v>0.9356287682633122</v>
      </c>
      <c r="H30" s="592">
        <f t="shared" si="3"/>
        <v>6.4371231736687795E-2</v>
      </c>
    </row>
    <row r="31" spans="2:8">
      <c r="B31" s="553"/>
      <c r="C31" s="561" t="str">
        <f>'NG-based (chart)'!B27</f>
        <v>GTL车</v>
      </c>
      <c r="D31" s="590">
        <f>'NG-based (chart)'!C27</f>
        <v>1.6832611746412502</v>
      </c>
      <c r="E31" s="591">
        <f t="shared" si="2"/>
        <v>-0.68326117464125025</v>
      </c>
      <c r="F31" s="561"/>
      <c r="G31" s="590">
        <f>'NG-based (chart)'!F27</f>
        <v>2.2751047775523623</v>
      </c>
      <c r="H31" s="589">
        <f t="shared" si="3"/>
        <v>-1.2751047775523623</v>
      </c>
    </row>
    <row r="35" spans="1:9">
      <c r="A35" s="541" t="s">
        <v>766</v>
      </c>
    </row>
    <row r="36" spans="1:9" s="585" customFormat="1" ht="57.6">
      <c r="B36" s="588"/>
      <c r="C36" s="587"/>
      <c r="D36" s="587" t="str">
        <f>'WTP&amp;WTW (for chart)'!AF1</f>
        <v>WTW fossil energy use</v>
      </c>
      <c r="E36" s="587" t="str">
        <f>'WTP&amp;WTW (for chart)'!AG1</f>
        <v>Upper limit of error</v>
      </c>
      <c r="F36" s="587" t="str">
        <f>'WTP&amp;WTW (for chart)'!AH1</f>
        <v>Lower limit of error</v>
      </c>
      <c r="G36" s="587" t="str">
        <f>'WTP&amp;WTW (for chart)'!AI1</f>
        <v>WTW GHG emission</v>
      </c>
      <c r="H36" s="587" t="str">
        <f>'WTP&amp;WTW (for chart)'!AJ1</f>
        <v>Upper limit of error</v>
      </c>
      <c r="I36" s="586" t="str">
        <f>'WTP&amp;WTW (for chart)'!AK1</f>
        <v>Lower limit of error</v>
      </c>
    </row>
    <row r="37" spans="1:9">
      <c r="B37" s="553"/>
      <c r="C37" s="561"/>
      <c r="D37" s="561" t="str">
        <f>'WTP&amp;WTW (for chart)'!AF2</f>
        <v>(MJ/km)</v>
      </c>
      <c r="E37" s="561"/>
      <c r="F37" s="561"/>
      <c r="G37" s="561" t="str">
        <f>'WTP&amp;WTW (for chart)'!AI2</f>
        <v>(g CO2e/km)</v>
      </c>
      <c r="H37" s="561"/>
      <c r="I37" s="560"/>
    </row>
    <row r="38" spans="1:9">
      <c r="B38" s="557" t="str">
        <f>'WTP&amp;WTW (for chart)'!A3</f>
        <v>SI ICE-Gasoline (8L/100km)</v>
      </c>
      <c r="C38" s="564" t="s">
        <v>765</v>
      </c>
      <c r="D38" s="578">
        <f>'WTP&amp;WTW (for chart)'!AF3</f>
        <v>3.2156682733811834</v>
      </c>
      <c r="E38" s="576">
        <f>'WTP&amp;WTW (for chart)'!AG3</f>
        <v>0.16924569859900968</v>
      </c>
      <c r="F38" s="576">
        <f>'WTP&amp;WTW (for chart)'!AH3</f>
        <v>0.16924569859900968</v>
      </c>
      <c r="G38" s="577">
        <f>'WTP&amp;WTW (for chart)'!AI3</f>
        <v>231.89212423122973</v>
      </c>
      <c r="H38" s="576">
        <f>'WTP&amp;WTW (for chart)'!AJ3</f>
        <v>12.204848643748933</v>
      </c>
      <c r="I38" s="575">
        <f>'WTP&amp;WTW (for chart)'!AK3</f>
        <v>12.204848643748935</v>
      </c>
    </row>
    <row r="39" spans="1:9">
      <c r="B39" s="553" t="str">
        <f>'WTP&amp;WTW (for chart)'!A9</f>
        <v>CI ICE-Diesel</v>
      </c>
      <c r="C39" s="561" t="s">
        <v>764</v>
      </c>
      <c r="D39" s="570">
        <f>'WTP&amp;WTW (for chart)'!AF9</f>
        <v>2.9056661351766362</v>
      </c>
      <c r="E39" s="568">
        <f>'WTP&amp;WTW (for chart)'!AG9</f>
        <v>0.15292979658824402</v>
      </c>
      <c r="F39" s="568">
        <f>'WTP&amp;WTW (for chart)'!AH9</f>
        <v>0.15292979658824402</v>
      </c>
      <c r="G39" s="569">
        <f>'WTP&amp;WTW (for chart)'!AI9</f>
        <v>215.66550277163583</v>
      </c>
      <c r="H39" s="568">
        <f>'WTP&amp;WTW (for chart)'!AJ9</f>
        <v>11.350815935349255</v>
      </c>
      <c r="I39" s="567">
        <f>'WTP&amp;WTW (for chart)'!AK9</f>
        <v>11.350815935349257</v>
      </c>
    </row>
    <row r="40" spans="1:9">
      <c r="B40" s="555"/>
      <c r="C40" s="563"/>
      <c r="D40" s="574"/>
      <c r="E40" s="572"/>
      <c r="F40" s="572"/>
      <c r="G40" s="573"/>
      <c r="H40" s="572"/>
      <c r="I40" s="571"/>
    </row>
    <row r="41" spans="1:9">
      <c r="B41" s="555"/>
      <c r="C41" s="563"/>
      <c r="D41" s="574"/>
      <c r="E41" s="572"/>
      <c r="F41" s="572"/>
      <c r="G41" s="573"/>
      <c r="H41" s="572"/>
      <c r="I41" s="571"/>
    </row>
    <row r="42" spans="1:9">
      <c r="B42" s="557" t="str">
        <f>'NG-based (chart)'!A6</f>
        <v>SI ICE-LPG</v>
      </c>
      <c r="C42" s="564" t="s">
        <v>763</v>
      </c>
      <c r="D42" s="578">
        <f>'NG-based (chart)'!C6</f>
        <v>3.1912734652460677</v>
      </c>
      <c r="E42" s="576">
        <f>'NG-based (chart)'!D6</f>
        <v>0.16796176132874041</v>
      </c>
      <c r="F42" s="576">
        <f>'NG-based (chart)'!E6</f>
        <v>0.16796176132874041</v>
      </c>
      <c r="G42" s="577">
        <f>'NG-based (chart)'!F6</f>
        <v>227.69800000000001</v>
      </c>
      <c r="H42" s="576">
        <f>'NG-based (chart)'!G6</f>
        <v>11.984105263157897</v>
      </c>
      <c r="I42" s="575">
        <f>'NG-based (chart)'!H6</f>
        <v>11.984105263157897</v>
      </c>
    </row>
    <row r="43" spans="1:9">
      <c r="B43" s="555" t="str">
        <f>'NG-based (chart)'!A7</f>
        <v>SI ICE-CNG</v>
      </c>
      <c r="C43" s="563" t="s">
        <v>762</v>
      </c>
      <c r="D43" s="574">
        <f>'NG-based (chart)'!C7</f>
        <v>3.2004182665971324</v>
      </c>
      <c r="E43" s="572">
        <f>'NG-based (chart)'!D7</f>
        <v>0.35560202962190363</v>
      </c>
      <c r="F43" s="572">
        <f>'NG-based (chart)'!E7</f>
        <v>0.35560202962190363</v>
      </c>
      <c r="G43" s="573">
        <f>'NG-based (chart)'!F7</f>
        <v>193.91576201711052</v>
      </c>
      <c r="H43" s="572">
        <f>'NG-based (chart)'!G7</f>
        <v>21.54619577967895</v>
      </c>
      <c r="I43" s="571">
        <f>'NG-based (chart)'!H7</f>
        <v>21.54619577967895</v>
      </c>
    </row>
    <row r="44" spans="1:9">
      <c r="B44" s="555" t="str">
        <f>'NG-based (chart)'!A8</f>
        <v>SI ICE-LNG1</v>
      </c>
      <c r="C44" s="563" t="s">
        <v>761</v>
      </c>
      <c r="D44" s="574">
        <f>'NG-based (chart)'!C8</f>
        <v>3.2433822205019567</v>
      </c>
      <c r="E44" s="572">
        <f>'NG-based (chart)'!D8</f>
        <v>0.17070432739483984</v>
      </c>
      <c r="F44" s="572">
        <f>'NG-based (chart)'!E8</f>
        <v>0.17070432739483984</v>
      </c>
      <c r="G44" s="573">
        <f>'NG-based (chart)'!F8</f>
        <v>192.15410611989452</v>
      </c>
      <c r="H44" s="572">
        <f>'NG-based (chart)'!G8</f>
        <v>10.113374006310238</v>
      </c>
      <c r="I44" s="571">
        <f>'NG-based (chart)'!H8</f>
        <v>10.11337400631024</v>
      </c>
    </row>
    <row r="45" spans="1:9">
      <c r="B45" s="555" t="str">
        <f>'NG-based (chart)'!A9</f>
        <v>SI ICE-LNG2</v>
      </c>
      <c r="C45" s="563" t="s">
        <v>760</v>
      </c>
      <c r="D45" s="574">
        <f>'NG-based (chart)'!C9</f>
        <v>3.1949738200975157</v>
      </c>
      <c r="E45" s="572">
        <f>'NG-based (chart)'!D9</f>
        <v>0.16815651684723767</v>
      </c>
      <c r="F45" s="572">
        <f>'NG-based (chart)'!E9</f>
        <v>0.16815651684723767</v>
      </c>
      <c r="G45" s="573">
        <f>'NG-based (chart)'!F9</f>
        <v>199.25414675722294</v>
      </c>
      <c r="H45" s="572">
        <f>'NG-based (chart)'!G9</f>
        <v>10.487060355643314</v>
      </c>
      <c r="I45" s="571">
        <f>'NG-based (chart)'!H9</f>
        <v>10.487060355643314</v>
      </c>
    </row>
    <row r="46" spans="1:9">
      <c r="B46" s="555" t="str">
        <f>'NG-based (chart)'!A10</f>
        <v>SI ICE-LNG3</v>
      </c>
      <c r="C46" s="563" t="s">
        <v>759</v>
      </c>
      <c r="D46" s="574">
        <f>'NG-based (chart)'!C10</f>
        <v>3.2331423800253454</v>
      </c>
      <c r="E46" s="572">
        <f>'NG-based (chart)'!D10</f>
        <v>0.1701653884223866</v>
      </c>
      <c r="F46" s="572">
        <f>'NG-based (chart)'!E10</f>
        <v>0.17016538842238663</v>
      </c>
      <c r="G46" s="573">
        <f>'NG-based (chart)'!F10</f>
        <v>201.78284871511357</v>
      </c>
      <c r="H46" s="572">
        <f>'NG-based (chart)'!G10</f>
        <v>10.6201499323744</v>
      </c>
      <c r="I46" s="571">
        <f>'NG-based (chart)'!H10</f>
        <v>10.6201499323744</v>
      </c>
    </row>
    <row r="47" spans="1:9">
      <c r="B47" s="553" t="str">
        <f>'NG-based (chart)'!A11</f>
        <v>CI ICE-GTL</v>
      </c>
      <c r="C47" s="561" t="s">
        <v>758</v>
      </c>
      <c r="D47" s="570">
        <f>'NG-based (chart)'!C11</f>
        <v>4.8909949918127262</v>
      </c>
      <c r="E47" s="568">
        <f>'NG-based (chart)'!D11</f>
        <v>0.86311676326106934</v>
      </c>
      <c r="F47" s="568">
        <f>'NG-based (chart)'!E11</f>
        <v>0.86311676326106934</v>
      </c>
      <c r="G47" s="569">
        <f>'NG-based (chart)'!F11</f>
        <v>490.66161570898089</v>
      </c>
      <c r="H47" s="568">
        <f>'NG-based (chart)'!G11</f>
        <v>86.587343948643692</v>
      </c>
      <c r="I47" s="567">
        <f>'NG-based (chart)'!H11</f>
        <v>86.587343948643692</v>
      </c>
    </row>
    <row r="48" spans="1:9">
      <c r="B48" s="555"/>
      <c r="C48" s="563"/>
      <c r="D48" s="574"/>
      <c r="E48" s="572"/>
      <c r="F48" s="572"/>
      <c r="G48" s="573"/>
      <c r="H48" s="572"/>
      <c r="I48" s="571"/>
    </row>
    <row r="49" spans="2:9">
      <c r="B49" s="555"/>
      <c r="C49" s="563"/>
      <c r="D49" s="574"/>
      <c r="E49" s="572"/>
      <c r="F49" s="572"/>
      <c r="G49" s="573"/>
      <c r="H49" s="572"/>
      <c r="I49" s="571"/>
    </row>
    <row r="50" spans="2:9">
      <c r="B50" s="557" t="str">
        <f>'Coal-based(chart)'!A6</f>
        <v>SI ICE-Methanol from coal</v>
      </c>
      <c r="C50" s="564" t="s">
        <v>757</v>
      </c>
      <c r="D50" s="578">
        <f>'Coal-based(chart)'!C6</f>
        <v>5.2369749529880938</v>
      </c>
      <c r="E50" s="576">
        <f>'Coal-based(chart)'!D6</f>
        <v>0.92417205052731077</v>
      </c>
      <c r="F50" s="576">
        <f>'Coal-based(chart)'!E6</f>
        <v>1.3092437382470234</v>
      </c>
      <c r="G50" s="577">
        <f>'Coal-based(chart)'!F6</f>
        <v>610.42389531027345</v>
      </c>
      <c r="H50" s="576">
        <f>'Coal-based(chart)'!G6</f>
        <v>107.72186387828356</v>
      </c>
      <c r="I50" s="575">
        <f>'Coal-based(chart)'!H6</f>
        <v>152.60597382756836</v>
      </c>
    </row>
    <row r="51" spans="2:9">
      <c r="B51" s="555" t="str">
        <f>'Coal-based(chart)'!A7</f>
        <v>SI ICE-DME from coal</v>
      </c>
      <c r="C51" s="563" t="s">
        <v>756</v>
      </c>
      <c r="D51" s="574">
        <f>'Coal-based(chart)'!C7</f>
        <v>5.3935453474676089</v>
      </c>
      <c r="E51" s="572">
        <f>'Coal-based(chart)'!D7</f>
        <v>0.9518021201413428</v>
      </c>
      <c r="F51" s="572">
        <f>'Coal-based(chart)'!E7</f>
        <v>1.348386336866902</v>
      </c>
      <c r="G51" s="573">
        <f>'Coal-based(chart)'!F7</f>
        <v>628.25526400000001</v>
      </c>
      <c r="H51" s="572">
        <f>'Coal-based(chart)'!G7</f>
        <v>110.868576</v>
      </c>
      <c r="I51" s="571">
        <f>'Coal-based(chart)'!H7</f>
        <v>157.063816</v>
      </c>
    </row>
    <row r="52" spans="2:9">
      <c r="B52" s="555" t="str">
        <f>'Coal-based(chart)'!A8</f>
        <v>CI ICE-CTL</v>
      </c>
      <c r="C52" s="563" t="s">
        <v>755</v>
      </c>
      <c r="D52" s="574">
        <f>'Coal-based(chart)'!C8</f>
        <v>6.1493342423119319</v>
      </c>
      <c r="E52" s="572">
        <f>'Coal-based(chart)'!D8</f>
        <v>0.68325936025688139</v>
      </c>
      <c r="F52" s="572">
        <f>'Coal-based(chart)'!E8</f>
        <v>1.0851766309962232</v>
      </c>
      <c r="G52" s="573">
        <f>'Coal-based(chart)'!F8</f>
        <v>464.44116470554576</v>
      </c>
      <c r="H52" s="572">
        <f>'Coal-based(chart)'!G8</f>
        <v>51.604573856171754</v>
      </c>
      <c r="I52" s="571">
        <f>'Coal-based(chart)'!H8</f>
        <v>81.960205536272781</v>
      </c>
    </row>
    <row r="53" spans="2:9">
      <c r="B53" s="553" t="str">
        <f>'Coal-based(chart)'!A9</f>
        <v>CI ICE-ICTL</v>
      </c>
      <c r="C53" s="561" t="s">
        <v>754</v>
      </c>
      <c r="D53" s="570">
        <f>'Coal-based(chart)'!C9</f>
        <v>6.1779816513761476</v>
      </c>
      <c r="E53" s="568">
        <f>'Coal-based(chart)'!D9</f>
        <v>0.68644240570846093</v>
      </c>
      <c r="F53" s="568">
        <f>'Coal-based(chart)'!E9</f>
        <v>1.0902320561252026</v>
      </c>
      <c r="G53" s="569">
        <f>'Coal-based(chart)'!F9</f>
        <v>664.20135600000015</v>
      </c>
      <c r="H53" s="568">
        <f>'Coal-based(chart)'!G9</f>
        <v>73.800150666666681</v>
      </c>
      <c r="I53" s="567">
        <f>'Coal-based(chart)'!H9</f>
        <v>117.21200400000002</v>
      </c>
    </row>
    <row r="54" spans="2:9">
      <c r="B54" s="555"/>
      <c r="C54" s="563"/>
      <c r="D54" s="574"/>
      <c r="E54" s="572"/>
      <c r="F54" s="572"/>
      <c r="G54" s="573"/>
      <c r="H54" s="572"/>
      <c r="I54" s="571"/>
    </row>
    <row r="55" spans="2:9">
      <c r="B55" s="557" t="str">
        <f>'Coal-based(chart)'!A11</f>
        <v>SI ICE-Methanol from coal (CCS)</v>
      </c>
      <c r="C55" s="564" t="s">
        <v>753</v>
      </c>
      <c r="D55" s="578">
        <f>'Coal-based(chart)'!C11</f>
        <v>6.6611947702313152</v>
      </c>
      <c r="E55" s="576">
        <f>'Coal-based(chart)'!D11</f>
        <v>1.6652986925578288</v>
      </c>
      <c r="F55" s="576">
        <f>'Coal-based(chart)'!E11</f>
        <v>2.2203982567437719</v>
      </c>
      <c r="G55" s="577">
        <f>'Coal-based(chart)'!F11</f>
        <v>403.50054096780781</v>
      </c>
      <c r="H55" s="576">
        <f>'Coal-based(chart)'!G11</f>
        <v>100.87513524195195</v>
      </c>
      <c r="I55" s="575">
        <f>'Coal-based(chart)'!H11</f>
        <v>134.5001803226026</v>
      </c>
    </row>
    <row r="56" spans="2:9">
      <c r="B56" s="555" t="str">
        <f>'Coal-based(chart)'!A12</f>
        <v>SI ICE-DME from coal (CCS)</v>
      </c>
      <c r="C56" s="563" t="s">
        <v>752</v>
      </c>
      <c r="D56" s="574">
        <f>'Coal-based(chart)'!C12</f>
        <v>6.5416000000000007</v>
      </c>
      <c r="E56" s="572">
        <f>'Coal-based(chart)'!D12</f>
        <v>1.6354000000000002</v>
      </c>
      <c r="F56" s="572">
        <f>'Coal-based(chart)'!E12</f>
        <v>2.1805333333333334</v>
      </c>
      <c r="G56" s="573">
        <f>'Coal-based(chart)'!F12</f>
        <v>446.0062880000001</v>
      </c>
      <c r="H56" s="572">
        <f>'Coal-based(chart)'!G12</f>
        <v>111.50157200000002</v>
      </c>
      <c r="I56" s="571">
        <f>'Coal-based(chart)'!H12</f>
        <v>148.66876266666671</v>
      </c>
    </row>
    <row r="57" spans="2:9">
      <c r="B57" s="555" t="str">
        <f>'Coal-based(chart)'!A13</f>
        <v>CI ICE-CTL(CCS)</v>
      </c>
      <c r="C57" s="563" t="s">
        <v>751</v>
      </c>
      <c r="D57" s="574">
        <f>'Coal-based(chart)'!C13</f>
        <v>7.5801701280237612</v>
      </c>
      <c r="E57" s="572">
        <f>'Coal-based(chart)'!D13</f>
        <v>1.3376770814159582</v>
      </c>
      <c r="F57" s="572">
        <f>'Coal-based(chart)'!E13</f>
        <v>1.8950425320059405</v>
      </c>
      <c r="G57" s="573">
        <f>'Coal-based(chart)'!F13</f>
        <v>344.1533734045081</v>
      </c>
      <c r="H57" s="572">
        <f>'Coal-based(chart)'!G13</f>
        <v>60.732948247854381</v>
      </c>
      <c r="I57" s="571">
        <f>'Coal-based(chart)'!H13</f>
        <v>86.038343351127025</v>
      </c>
    </row>
    <row r="58" spans="2:9">
      <c r="B58" s="553" t="str">
        <f>'Coal-based(chart)'!A14</f>
        <v>CI ICE-ICTL(CCS)</v>
      </c>
      <c r="C58" s="561" t="s">
        <v>750</v>
      </c>
      <c r="D58" s="570">
        <f>'Coal-based(chart)'!C14</f>
        <v>6.8879663056558371</v>
      </c>
      <c r="E58" s="568">
        <f>'Coal-based(chart)'!D14</f>
        <v>1.2155234657039715</v>
      </c>
      <c r="F58" s="568">
        <f>'Coal-based(chart)'!E14</f>
        <v>1.7219915764139593</v>
      </c>
      <c r="G58" s="569">
        <f>'Coal-based(chart)'!F14</f>
        <v>575.36642800000004</v>
      </c>
      <c r="H58" s="568">
        <f>'Coal-based(chart)'!G14</f>
        <v>101.53525200000003</v>
      </c>
      <c r="I58" s="567">
        <f>'Coal-based(chart)'!H14</f>
        <v>143.84160700000001</v>
      </c>
    </row>
    <row r="59" spans="2:9">
      <c r="B59" s="555"/>
      <c r="C59" s="563"/>
      <c r="D59" s="574"/>
      <c r="E59" s="572"/>
      <c r="F59" s="572"/>
      <c r="G59" s="573"/>
      <c r="H59" s="572"/>
      <c r="I59" s="571"/>
    </row>
    <row r="60" spans="2:9">
      <c r="B60" s="555"/>
      <c r="C60" s="563"/>
      <c r="D60" s="574"/>
      <c r="E60" s="572"/>
      <c r="F60" s="572"/>
      <c r="G60" s="573"/>
      <c r="H60" s="572"/>
      <c r="I60" s="571"/>
    </row>
    <row r="61" spans="2:9">
      <c r="B61" s="584" t="str">
        <f>'EV(chart)'!A6</f>
        <v>BEV-Grid power (20.3KWh/100km)</v>
      </c>
      <c r="C61" s="583" t="s">
        <v>749</v>
      </c>
      <c r="D61" s="582">
        <f>'EV(chart)'!C6</f>
        <v>2.6009834170840636</v>
      </c>
      <c r="E61" s="580">
        <f>'EV(chart)'!D6</f>
        <v>0.28899815745378488</v>
      </c>
      <c r="F61" s="580">
        <f>'EV(chart)'!E6</f>
        <v>0.28899815745378482</v>
      </c>
      <c r="G61" s="581">
        <f>'EV(chart)'!F6</f>
        <v>230.1040297570008</v>
      </c>
      <c r="H61" s="580">
        <f>'EV(chart)'!G6</f>
        <v>25.567114417444536</v>
      </c>
      <c r="I61" s="579">
        <f>'EV(chart)'!H6</f>
        <v>25.567114417444536</v>
      </c>
    </row>
    <row r="62" spans="2:9">
      <c r="B62" s="555"/>
      <c r="C62" s="563"/>
      <c r="D62" s="574"/>
      <c r="E62" s="572"/>
      <c r="F62" s="572"/>
      <c r="G62" s="573"/>
      <c r="H62" s="572"/>
      <c r="I62" s="571"/>
    </row>
    <row r="63" spans="2:9">
      <c r="B63" s="557" t="str">
        <f>'EV(chart)'!A8</f>
        <v>BEV-Coal power</v>
      </c>
      <c r="C63" s="564" t="s">
        <v>748</v>
      </c>
      <c r="D63" s="578">
        <f>'EV(chart)'!C8</f>
        <v>3.2516774197888685</v>
      </c>
      <c r="E63" s="576">
        <f>'EV(chart)'!D8</f>
        <v>0.36129749108765208</v>
      </c>
      <c r="F63" s="576">
        <f>'EV(chart)'!E8</f>
        <v>0.36129749108765208</v>
      </c>
      <c r="G63" s="577">
        <f>'EV(chart)'!F8</f>
        <v>295.54890121784319</v>
      </c>
      <c r="H63" s="576">
        <f>'EV(chart)'!G8</f>
        <v>32.83876680198258</v>
      </c>
      <c r="I63" s="575">
        <f>'EV(chart)'!H8</f>
        <v>32.83876680198258</v>
      </c>
    </row>
    <row r="64" spans="2:9">
      <c r="B64" s="555" t="str">
        <f>'EV(chart)'!A9</f>
        <v>BEV-Oil power</v>
      </c>
      <c r="C64" s="563" t="s">
        <v>747</v>
      </c>
      <c r="D64" s="574">
        <f>'EV(chart)'!C9</f>
        <v>4.1840578279865541</v>
      </c>
      <c r="E64" s="572">
        <f>'EV(chart)'!D9</f>
        <v>0.46489531422072827</v>
      </c>
      <c r="F64" s="572">
        <f>'EV(chart)'!E9</f>
        <v>0.46489531422072822</v>
      </c>
      <c r="G64" s="573">
        <f>'EV(chart)'!F9</f>
        <v>317.08247496876356</v>
      </c>
      <c r="H64" s="572">
        <f>'EV(chart)'!G9</f>
        <v>35.231386107640397</v>
      </c>
      <c r="I64" s="571">
        <f>'EV(chart)'!H9</f>
        <v>35.231386107640397</v>
      </c>
    </row>
    <row r="65" spans="2:9">
      <c r="B65" s="555" t="str">
        <f>'EV(chart)'!A10</f>
        <v>BEV-Gas power</v>
      </c>
      <c r="C65" s="563" t="s">
        <v>746</v>
      </c>
      <c r="D65" s="574">
        <f>'EV(chart)'!C10</f>
        <v>2.6814410377091997</v>
      </c>
      <c r="E65" s="572">
        <f>'EV(chart)'!D10</f>
        <v>0.29793789307879998</v>
      </c>
      <c r="F65" s="572">
        <f>'EV(chart)'!E10</f>
        <v>0.29793789307879998</v>
      </c>
      <c r="G65" s="573">
        <f>'EV(chart)'!F10</f>
        <v>159.69094623594196</v>
      </c>
      <c r="H65" s="572">
        <f>'EV(chart)'!G10</f>
        <v>17.74343847066022</v>
      </c>
      <c r="I65" s="571">
        <f>'EV(chart)'!H10</f>
        <v>17.74343847066022</v>
      </c>
    </row>
    <row r="66" spans="2:9">
      <c r="B66" s="555" t="str">
        <f>'EV(chart)'!A11</f>
        <v>BEV-Nuclear power</v>
      </c>
      <c r="C66" s="563" t="s">
        <v>745</v>
      </c>
      <c r="D66" s="574">
        <f>'EV(chart)'!C11</f>
        <v>6.4303448275862068E-2</v>
      </c>
      <c r="E66" s="572">
        <f>'EV(chart)'!D11</f>
        <v>7.1448275862068967E-3</v>
      </c>
      <c r="F66" s="572">
        <f>'EV(chart)'!E11</f>
        <v>7.1448275862068967E-3</v>
      </c>
      <c r="G66" s="573">
        <f>'EV(chart)'!F11</f>
        <v>6.63448275862069</v>
      </c>
      <c r="H66" s="572">
        <f>'EV(chart)'!G11</f>
        <v>0.7371647509578545</v>
      </c>
      <c r="I66" s="571">
        <f>'EV(chart)'!H11</f>
        <v>0.73716475095785439</v>
      </c>
    </row>
    <row r="67" spans="2:9">
      <c r="B67" s="555" t="str">
        <f>'EV(chart)'!A12</f>
        <v>BEV-Large Hydro power</v>
      </c>
      <c r="C67" s="563" t="s">
        <v>744</v>
      </c>
      <c r="D67" s="574">
        <f>'EV(chart)'!C12</f>
        <v>0</v>
      </c>
      <c r="E67" s="572">
        <f>'EV(chart)'!D12</f>
        <v>0</v>
      </c>
      <c r="F67" s="572">
        <f>'EV(chart)'!E12</f>
        <v>0</v>
      </c>
      <c r="G67" s="573">
        <f>'EV(chart)'!F12</f>
        <v>5.1034482758620694</v>
      </c>
      <c r="H67" s="572">
        <f>'EV(chart)'!G12</f>
        <v>0</v>
      </c>
      <c r="I67" s="571">
        <f>'EV(chart)'!H12</f>
        <v>0</v>
      </c>
    </row>
    <row r="68" spans="2:9">
      <c r="B68" s="555" t="str">
        <f>'EV(chart)'!A13</f>
        <v>BEV-Biopower</v>
      </c>
      <c r="C68" s="563" t="s">
        <v>743</v>
      </c>
      <c r="D68" s="574">
        <f>'EV(chart)'!C13</f>
        <v>7.7572413793103451E-2</v>
      </c>
      <c r="E68" s="572">
        <f>'EV(chart)'!D13</f>
        <v>8.619157088122607E-3</v>
      </c>
      <c r="F68" s="572">
        <f>'EV(chart)'!E13</f>
        <v>8.6191570881226053E-3</v>
      </c>
      <c r="G68" s="573">
        <f>'EV(chart)'!F13</f>
        <v>5.92</v>
      </c>
      <c r="H68" s="572">
        <f>'EV(chart)'!G13</f>
        <v>0.65777777777777779</v>
      </c>
      <c r="I68" s="571">
        <f>'EV(chart)'!H13</f>
        <v>0.65777777777777768</v>
      </c>
    </row>
    <row r="69" spans="2:9">
      <c r="B69" s="553" t="str">
        <f>'EV(chart)'!A14</f>
        <v>BEV-Coal power(IGCC+CCS)</v>
      </c>
      <c r="C69" s="561" t="s">
        <v>742</v>
      </c>
      <c r="D69" s="570">
        <f>'EV(chart)'!C14</f>
        <v>3.6412819192384651</v>
      </c>
      <c r="E69" s="568">
        <f>'EV(chart)'!D14</f>
        <v>0.64257916221855271</v>
      </c>
      <c r="F69" s="568">
        <f>'EV(chart)'!E14</f>
        <v>0.64257916221855271</v>
      </c>
      <c r="G69" s="569">
        <f>'EV(chart)'!F14</f>
        <v>96.054249391544602</v>
      </c>
      <c r="H69" s="568">
        <f>'EV(chart)'!G14</f>
        <v>16.95074989262552</v>
      </c>
      <c r="I69" s="567">
        <f>'EV(chart)'!H14</f>
        <v>16.950749892625517</v>
      </c>
    </row>
    <row r="70" spans="2:9">
      <c r="B70" s="555"/>
      <c r="C70" s="563"/>
      <c r="D70" s="574"/>
      <c r="E70" s="572"/>
      <c r="F70" s="572"/>
      <c r="G70" s="573"/>
      <c r="H70" s="572"/>
      <c r="I70" s="571"/>
    </row>
    <row r="71" spans="2:9">
      <c r="B71" s="555"/>
      <c r="C71" s="563"/>
      <c r="D71" s="574"/>
      <c r="E71" s="563"/>
      <c r="F71" s="563"/>
      <c r="G71" s="573"/>
      <c r="H71" s="563"/>
      <c r="I71" s="554"/>
    </row>
    <row r="72" spans="2:9">
      <c r="B72" s="557" t="str">
        <f>'WTP&amp;WTW (for chart)'!A29</f>
        <v>SI ICE-Corn ethanol</v>
      </c>
      <c r="C72" s="564" t="s">
        <v>741</v>
      </c>
      <c r="D72" s="578">
        <f>'WTP&amp;WTW (for chart)'!AF29</f>
        <v>3.6028522662793607</v>
      </c>
      <c r="E72" s="576">
        <f>'WTP&amp;WTW (for chart)'!AG29</f>
        <v>0.40031691847548456</v>
      </c>
      <c r="F72" s="576">
        <f>'WTP&amp;WTW (for chart)'!AH29</f>
        <v>0.90071306656984018</v>
      </c>
      <c r="G72" s="577">
        <f>'WTP&amp;WTW (for chart)'!AI29</f>
        <v>493.25966102567833</v>
      </c>
      <c r="H72" s="576">
        <f>'WTP&amp;WTW (for chart)'!AJ29</f>
        <v>54.80662900285315</v>
      </c>
      <c r="I72" s="575">
        <f>'WTP&amp;WTW (for chart)'!AK29</f>
        <v>123.31491525641958</v>
      </c>
    </row>
    <row r="73" spans="2:9">
      <c r="B73" s="555" t="str">
        <f>'WTP&amp;WTW (for chart)'!A30</f>
        <v>SI ICE-Cassava ethanol</v>
      </c>
      <c r="C73" s="563" t="s">
        <v>740</v>
      </c>
      <c r="D73" s="574">
        <f>'WTP&amp;WTW (for chart)'!AF30</f>
        <v>2.0493189258262987</v>
      </c>
      <c r="E73" s="572">
        <f>'WTP&amp;WTW (for chart)'!AG30</f>
        <v>0.22770210286958875</v>
      </c>
      <c r="F73" s="572">
        <f>'WTP&amp;WTW (for chart)'!AH30</f>
        <v>0.51232973145657468</v>
      </c>
      <c r="G73" s="573">
        <f>'WTP&amp;WTW (for chart)'!AI30</f>
        <v>224.78508530659494</v>
      </c>
      <c r="H73" s="572">
        <f>'WTP&amp;WTW (for chart)'!AJ30</f>
        <v>24.976120589621662</v>
      </c>
      <c r="I73" s="571">
        <f>'WTP&amp;WTW (for chart)'!AK30</f>
        <v>56.196271326648741</v>
      </c>
    </row>
    <row r="74" spans="2:9">
      <c r="B74" s="555" t="str">
        <f>'WTP&amp;WTW (for chart)'!A31</f>
        <v>SI ICE-Sweet sorghum ethanol</v>
      </c>
      <c r="C74" s="563" t="s">
        <v>739</v>
      </c>
      <c r="D74" s="574">
        <f>'WTP&amp;WTW (for chart)'!AF31</f>
        <v>1.7000554650387762</v>
      </c>
      <c r="E74" s="572">
        <f>'WTP&amp;WTW (for chart)'!AG31</f>
        <v>2.5500831975581639</v>
      </c>
      <c r="F74" s="572">
        <f>'WTP&amp;WTW (for chart)'!AH31</f>
        <v>0.42501386625969406</v>
      </c>
      <c r="G74" s="573">
        <f>'WTP&amp;WTW (for chart)'!AI31</f>
        <v>160.26954337595097</v>
      </c>
      <c r="H74" s="572">
        <f>'WTP&amp;WTW (for chart)'!AJ31</f>
        <v>240.40431506392642</v>
      </c>
      <c r="I74" s="571">
        <f>'WTP&amp;WTW (for chart)'!AK31</f>
        <v>40.067385843987736</v>
      </c>
    </row>
    <row r="75" spans="2:9">
      <c r="B75" s="555" t="str">
        <f>'WTP&amp;WTW (for chart)'!A32</f>
        <v>SI ICE-Woody ethanol</v>
      </c>
      <c r="C75" s="563" t="s">
        <v>738</v>
      </c>
      <c r="D75" s="574">
        <f>'WTP&amp;WTW (for chart)'!AF32</f>
        <v>0.93428531949103355</v>
      </c>
      <c r="E75" s="572">
        <f>'WTP&amp;WTW (for chart)'!AG32</f>
        <v>0.10380947994344818</v>
      </c>
      <c r="F75" s="572">
        <f>'WTP&amp;WTW (for chart)'!AH32</f>
        <v>0.10380947994344818</v>
      </c>
      <c r="G75" s="573">
        <f>'WTP&amp;WTW (for chart)'!AI32</f>
        <v>79.7318078857746</v>
      </c>
      <c r="H75" s="572">
        <f>'WTP&amp;WTW (for chart)'!AJ32</f>
        <v>-8.8590897650860665</v>
      </c>
      <c r="I75" s="571">
        <f>'WTP&amp;WTW (for chart)'!AK32</f>
        <v>-8.8590897650860665</v>
      </c>
    </row>
    <row r="76" spans="2:9">
      <c r="B76" s="553" t="str">
        <f>'WTP&amp;WTW (for chart)'!A33</f>
        <v>SI ICE-Herbaceous ethanol</v>
      </c>
      <c r="C76" s="561" t="s">
        <v>737</v>
      </c>
      <c r="D76" s="570">
        <f>'WTP&amp;WTW (for chart)'!AF33</f>
        <v>0.5173083858561639</v>
      </c>
      <c r="E76" s="568">
        <f>'WTP&amp;WTW (for chart)'!AG33</f>
        <v>5.747870953957377E-2</v>
      </c>
      <c r="F76" s="568">
        <f>'WTP&amp;WTW (for chart)'!AH33</f>
        <v>5.7478709539573763E-2</v>
      </c>
      <c r="G76" s="569">
        <f>'WTP&amp;WTW (for chart)'!AI33</f>
        <v>9.5174561427939821</v>
      </c>
      <c r="H76" s="568">
        <f>'WTP&amp;WTW (for chart)'!AJ33</f>
        <v>1.0574951269771091</v>
      </c>
      <c r="I76" s="567">
        <f>'WTP&amp;WTW (for chart)'!AK33</f>
        <v>1.0574951269771091</v>
      </c>
    </row>
    <row r="77" spans="2:9">
      <c r="B77" s="555"/>
      <c r="C77" s="563"/>
      <c r="D77" s="574"/>
      <c r="E77" s="572"/>
      <c r="F77" s="572"/>
      <c r="G77" s="573"/>
      <c r="H77" s="572"/>
      <c r="I77" s="571"/>
    </row>
    <row r="78" spans="2:9">
      <c r="B78" s="557" t="str">
        <f>'WTP&amp;WTW (for chart)'!A35</f>
        <v>CI ICE-Waste oil biodiesel</v>
      </c>
      <c r="C78" s="564" t="s">
        <v>736</v>
      </c>
      <c r="D78" s="578">
        <f>'WTP&amp;WTW (for chart)'!AF35</f>
        <v>2.2230864604130001</v>
      </c>
      <c r="E78" s="576">
        <f>'WTP&amp;WTW (for chart)'!AG35</f>
        <v>0.24700960671255559</v>
      </c>
      <c r="F78" s="576">
        <f>'WTP&amp;WTW (for chart)'!AH35</f>
        <v>0.95275134017700003</v>
      </c>
      <c r="G78" s="577">
        <f>'WTP&amp;WTW (for chart)'!AI35</f>
        <v>394.87628388848401</v>
      </c>
      <c r="H78" s="576">
        <f>'WTP&amp;WTW (for chart)'!AJ35</f>
        <v>43.875142654276004</v>
      </c>
      <c r="I78" s="575">
        <f>'WTP&amp;WTW (for chart)'!AK35</f>
        <v>169.23269309506458</v>
      </c>
    </row>
    <row r="79" spans="2:9">
      <c r="B79" s="555" t="str">
        <f>'WTP&amp;WTW (for chart)'!A36</f>
        <v>CI ICE-Jatropha biodiesel</v>
      </c>
      <c r="C79" s="563" t="s">
        <v>735</v>
      </c>
      <c r="D79" s="574">
        <f>'WTP&amp;WTW (for chart)'!AF36</f>
        <v>0.49371606161681997</v>
      </c>
      <c r="E79" s="572">
        <f>'WTP&amp;WTW (for chart)'!AG36</f>
        <v>5.485734017964667E-2</v>
      </c>
      <c r="F79" s="572">
        <f>'WTP&amp;WTW (for chart)'!AH36</f>
        <v>5.4857340179646663E-2</v>
      </c>
      <c r="G79" s="573">
        <f>'WTP&amp;WTW (for chart)'!AI36</f>
        <v>40.535911534159609</v>
      </c>
      <c r="H79" s="572">
        <f>'WTP&amp;WTW (for chart)'!AJ36</f>
        <v>4.5039901704621794</v>
      </c>
      <c r="I79" s="571">
        <f>'WTP&amp;WTW (for chart)'!AK36</f>
        <v>4.5039901704621785</v>
      </c>
    </row>
    <row r="80" spans="2:9">
      <c r="B80" s="553" t="str">
        <f>'WTP&amp;WTW (for chart)'!A37</f>
        <v>CI ICE-BTL (F-T) biodiesel</v>
      </c>
      <c r="C80" s="561" t="s">
        <v>734</v>
      </c>
      <c r="D80" s="570">
        <f>'WTP&amp;WTW (for chart)'!AF37</f>
        <v>0.13279448000000002</v>
      </c>
      <c r="E80" s="568">
        <f>'WTP&amp;WTW (for chart)'!AG37</f>
        <v>3.3198620000000005E-2</v>
      </c>
      <c r="F80" s="568">
        <f>'WTP&amp;WTW (for chart)'!AH37</f>
        <v>3.3198620000000005E-2</v>
      </c>
      <c r="G80" s="569">
        <f>'WTP&amp;WTW (for chart)'!AI37</f>
        <v>16.57641439999999</v>
      </c>
      <c r="H80" s="568">
        <f>'WTP&amp;WTW (for chart)'!AJ37</f>
        <v>4.1441035999999976</v>
      </c>
      <c r="I80" s="567">
        <f>'WTP&amp;WTW (for chart)'!AK37</f>
        <v>4.1441035999999976</v>
      </c>
    </row>
    <row r="82" spans="5:8">
      <c r="E82" s="566"/>
      <c r="H82" s="566"/>
    </row>
    <row r="83" spans="5:8">
      <c r="E83" s="566"/>
      <c r="H83" s="566"/>
    </row>
  </sheetData>
  <phoneticPr fontId="60" type="noConversion"/>
  <hyperlinks>
    <hyperlink ref="A2" location="'Key Output (2)'!A35" display="全面比较"/>
    <hyperlink ref="A1" location="'Key Output (2)'!A4" display="气体燃料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B1" zoomScale="80" zoomScaleNormal="80" workbookViewId="0">
      <selection activeCell="J25" sqref="J25"/>
    </sheetView>
  </sheetViews>
  <sheetFormatPr defaultRowHeight="14.4"/>
  <cols>
    <col min="3" max="5" width="22.88671875" customWidth="1"/>
    <col min="7" max="7" width="13.88671875" customWidth="1"/>
    <col min="10" max="10" width="9.44140625" bestFit="1" customWidth="1"/>
  </cols>
  <sheetData>
    <row r="1" spans="1:15">
      <c r="G1" s="6" t="s">
        <v>55</v>
      </c>
      <c r="H1" s="23">
        <v>6.9699999999999998E-2</v>
      </c>
      <c r="I1" s="6" t="s">
        <v>58</v>
      </c>
    </row>
    <row r="2" spans="1:15" ht="24">
      <c r="G2" s="24" t="s">
        <v>57</v>
      </c>
      <c r="H2" s="23">
        <v>0.06</v>
      </c>
      <c r="I2" t="s">
        <v>56</v>
      </c>
    </row>
    <row r="8" spans="1:15">
      <c r="C8" s="44"/>
      <c r="D8" s="44"/>
      <c r="E8" s="44"/>
      <c r="F8" s="27"/>
      <c r="G8" s="28"/>
    </row>
    <row r="9" spans="1:15">
      <c r="C9" s="32"/>
      <c r="D9" s="136"/>
      <c r="E9" s="136"/>
      <c r="G9" s="32"/>
    </row>
    <row r="10" spans="1:15" ht="15" thickBot="1"/>
    <row r="11" spans="1:15" ht="16.2" thickBot="1">
      <c r="A11" s="11" t="s">
        <v>18</v>
      </c>
      <c r="F11" s="36"/>
      <c r="G11" s="37" t="s">
        <v>47</v>
      </c>
      <c r="H11" s="37"/>
      <c r="I11" s="38"/>
      <c r="J11" s="36" t="s">
        <v>49</v>
      </c>
      <c r="K11" s="37" t="s">
        <v>49</v>
      </c>
      <c r="L11" s="38" t="s">
        <v>51</v>
      </c>
      <c r="M11" s="36"/>
      <c r="N11" s="38"/>
      <c r="O11" s="32" t="s">
        <v>96</v>
      </c>
    </row>
    <row r="12" spans="1:15" ht="25.2" thickTop="1" thickBot="1">
      <c r="A12" s="15" t="s">
        <v>12</v>
      </c>
      <c r="B12" s="15" t="s">
        <v>19</v>
      </c>
      <c r="C12" s="15" t="s">
        <v>20</v>
      </c>
      <c r="D12" s="155"/>
      <c r="E12" s="155"/>
      <c r="F12" s="45" t="s">
        <v>59</v>
      </c>
      <c r="G12" s="46" t="s">
        <v>60</v>
      </c>
      <c r="H12" s="46" t="s">
        <v>33</v>
      </c>
      <c r="I12" s="43" t="s">
        <v>35</v>
      </c>
      <c r="J12" s="41" t="s">
        <v>38</v>
      </c>
      <c r="K12" s="42" t="s">
        <v>42</v>
      </c>
      <c r="L12" s="43" t="s">
        <v>44</v>
      </c>
      <c r="M12" s="41" t="s">
        <v>53</v>
      </c>
      <c r="N12" s="43" t="s">
        <v>74</v>
      </c>
    </row>
    <row r="13" spans="1:15">
      <c r="A13" s="152" t="s">
        <v>281</v>
      </c>
      <c r="B13" s="152">
        <v>600</v>
      </c>
      <c r="C13" s="152">
        <f>Water!K10</f>
        <v>36.1</v>
      </c>
      <c r="D13" s="152"/>
      <c r="E13" s="152"/>
      <c r="F13" s="20">
        <f>100/C13/(1-H1)</f>
        <v>2.9776234574793876</v>
      </c>
      <c r="G13" s="20">
        <f>F13*'LC factor'!B7</f>
        <v>3.1937846406119483</v>
      </c>
      <c r="H13" s="20">
        <f>F13*'LC factor'!C7</f>
        <v>8.1243900391374402E-3</v>
      </c>
      <c r="I13" s="20">
        <f>F13*'LC factor'!D7</f>
        <v>4.3916678192343073E-2</v>
      </c>
      <c r="J13" s="20">
        <f>F13*'LC factor'!L7</f>
        <v>264.39170516856075</v>
      </c>
      <c r="K13" s="20">
        <f>F13*'LC factor'!M7</f>
        <v>1.3012287390972626</v>
      </c>
      <c r="L13" s="20">
        <f>F13*'LC factor'!N7</f>
        <v>4.1161815010818375E-3</v>
      </c>
      <c r="M13" s="20">
        <f>J13+K13*23+L13*0.296</f>
        <v>294.32118455752214</v>
      </c>
      <c r="N13" s="20">
        <f>G13+H13+I13</f>
        <v>3.2458257088434288</v>
      </c>
      <c r="O13" s="23">
        <f>1/N13</f>
        <v>0.30808801510057843</v>
      </c>
    </row>
    <row r="14" spans="1:15">
      <c r="A14" s="16" t="s">
        <v>21</v>
      </c>
      <c r="B14" s="17">
        <v>1000</v>
      </c>
      <c r="C14" s="16">
        <v>45.6</v>
      </c>
      <c r="D14" s="16"/>
      <c r="E14" s="16"/>
      <c r="F14" s="20">
        <f>100/C14/(1-H1)</f>
        <v>2.3572852371711819</v>
      </c>
      <c r="G14" s="20">
        <f>F14*'LC factor'!B7</f>
        <v>2.5284128404844592</v>
      </c>
      <c r="H14" s="20">
        <f>F14*'LC factor'!C7</f>
        <v>6.4318087809838069E-3</v>
      </c>
      <c r="I14" s="20">
        <f>F14*'LC factor'!D7</f>
        <v>3.476737023560493E-2</v>
      </c>
      <c r="J14" s="20">
        <f>F14*'LC factor'!L7</f>
        <v>209.31009992511062</v>
      </c>
      <c r="K14" s="20">
        <f>F14*'LC factor'!M7</f>
        <v>1.0301394184519996</v>
      </c>
      <c r="L14" s="20">
        <f>F14*'LC factor'!N7</f>
        <v>3.2586436883564546E-3</v>
      </c>
      <c r="M14" s="20">
        <f>J14+K14*23+L14*0.296</f>
        <v>233.00427110803838</v>
      </c>
      <c r="N14" s="20">
        <f>G14+H14+I14</f>
        <v>2.5696120195010477</v>
      </c>
      <c r="O14" s="23">
        <f>1/N14</f>
        <v>0.38916380854809912</v>
      </c>
    </row>
    <row r="15" spans="1:15" ht="15" thickBot="1">
      <c r="A15" s="18" t="s">
        <v>22</v>
      </c>
      <c r="B15" s="19" t="s">
        <v>23</v>
      </c>
      <c r="C15" s="18">
        <v>40.4</v>
      </c>
      <c r="D15" s="152"/>
      <c r="E15" s="152"/>
      <c r="F15" s="20">
        <f>100/C15/(1-H1)</f>
        <v>2.6606981884902452</v>
      </c>
      <c r="G15" s="20">
        <f>F15*'LC factor'!B7</f>
        <v>2.8538521169824591</v>
      </c>
      <c r="H15" s="20">
        <f>F15*'LC factor'!C7</f>
        <v>7.2596653567540007E-3</v>
      </c>
      <c r="I15" s="20">
        <f>F15*'LC factor'!D7</f>
        <v>3.92423782857323E-2</v>
      </c>
      <c r="J15" s="20">
        <f>F15*'LC factor'!L7</f>
        <v>236.25100387586744</v>
      </c>
      <c r="K15" s="20">
        <f>F15*'LC factor'!M7</f>
        <v>1.1627316208270095</v>
      </c>
      <c r="L15" s="20">
        <f>F15*'LC factor'!N7</f>
        <v>3.678073073986494E-3</v>
      </c>
      <c r="M15" s="20">
        <f>J15+K15*23+L15*0.296</f>
        <v>262.99491986451858</v>
      </c>
      <c r="N15" s="20">
        <f>G15+H15+I15</f>
        <v>2.9003541606249454</v>
      </c>
      <c r="O15" s="23">
        <f>1/N15</f>
        <v>0.34478547950314037</v>
      </c>
    </row>
    <row r="16" spans="1:15" ht="15" thickTop="1">
      <c r="F16" s="20"/>
      <c r="G16" s="20"/>
      <c r="H16" s="20"/>
      <c r="I16" s="20"/>
      <c r="J16" s="20"/>
      <c r="K16" s="20"/>
      <c r="L16" s="20"/>
      <c r="M16" s="20"/>
      <c r="N16" s="20"/>
    </row>
    <row r="17" spans="1:16">
      <c r="F17" s="20"/>
      <c r="G17" s="20"/>
      <c r="H17" s="20"/>
      <c r="I17" s="20"/>
      <c r="J17" s="20">
        <f>F18*'LC factor'!L7</f>
        <v>360.17134175792626</v>
      </c>
      <c r="K17" s="20"/>
      <c r="L17" s="20"/>
      <c r="M17" s="20"/>
      <c r="N17" s="20"/>
    </row>
    <row r="18" spans="1:16">
      <c r="A18" s="24" t="s">
        <v>283</v>
      </c>
      <c r="C18" s="152">
        <v>26.5</v>
      </c>
      <c r="D18" s="152"/>
      <c r="E18" s="152"/>
      <c r="F18" s="20">
        <f>100/C18/(1-H1)</f>
        <v>4.0563096911322987</v>
      </c>
      <c r="G18" s="20">
        <f>F18*'LC factor'!B7</f>
        <v>4.3507783217392966</v>
      </c>
      <c r="H18" s="20">
        <f>F18*'LC factor'!C7</f>
        <v>1.1067565298598552E-2</v>
      </c>
      <c r="I18" s="20">
        <f>F18*'LC factor'!D7</f>
        <v>5.982611632994661E-2</v>
      </c>
      <c r="J18" s="20">
        <f>F18*'LC factor'!G23</f>
        <v>62.122629534845444</v>
      </c>
      <c r="K18" s="20">
        <f>F18*'LC factor'!M7</f>
        <v>1.772617263449479</v>
      </c>
      <c r="L18" s="20">
        <f>F18*'LC factor'!N7</f>
        <v>5.6073264977001651E-3</v>
      </c>
      <c r="M18" s="20">
        <f>J18+K18*23+L18*0.296</f>
        <v>102.89448636282678</v>
      </c>
      <c r="N18" s="20">
        <f>G18+H18+I18</f>
        <v>4.4216720033678421</v>
      </c>
      <c r="O18" s="23">
        <f>1/N18</f>
        <v>0.22615879224834698</v>
      </c>
    </row>
    <row r="19" spans="1:16">
      <c r="C19" s="152"/>
      <c r="D19" s="152"/>
      <c r="E19" s="152"/>
      <c r="F19" s="20"/>
      <c r="G19" s="20"/>
      <c r="H19" s="20"/>
      <c r="I19" s="20"/>
      <c r="J19" s="20">
        <f>F20*'LC factor'!L7</f>
        <v>265.86463945919348</v>
      </c>
      <c r="K19" s="20"/>
      <c r="L19" s="20"/>
      <c r="M19" s="20"/>
      <c r="N19" s="20"/>
    </row>
    <row r="20" spans="1:16">
      <c r="A20" s="16" t="s">
        <v>83</v>
      </c>
      <c r="C20" s="152">
        <v>35.9</v>
      </c>
      <c r="D20" s="152"/>
      <c r="E20" s="152"/>
      <c r="F20" s="20">
        <f>100/C20/(1-H1)</f>
        <v>2.9942118889973792</v>
      </c>
      <c r="G20" s="20">
        <f>F20*'LC factor'!B7</f>
        <v>3.2115773127044949</v>
      </c>
      <c r="H20" s="20">
        <f>F20*'LC factor'!C7</f>
        <v>8.1696512649822185E-3</v>
      </c>
      <c r="I20" s="20">
        <f>F20*'LC factor'!D7</f>
        <v>4.4161339352189001E-2</v>
      </c>
      <c r="J20" s="20">
        <f>F20*'LC factor'!G23</f>
        <v>45.856537121821844</v>
      </c>
      <c r="K20" s="20">
        <f>F20*'LC factor'!M7</f>
        <v>1.3084779242732922</v>
      </c>
      <c r="L20" s="20">
        <f>F20*'LC factor'!N7</f>
        <v>4.1391128743469181E-3</v>
      </c>
      <c r="M20" s="20">
        <f>J20+K20*23+L20*0.296</f>
        <v>75.952754557518361</v>
      </c>
      <c r="N20" s="20">
        <f>G20+H20+I20</f>
        <v>3.2639083033216658</v>
      </c>
      <c r="O20" s="23">
        <f>1/N20</f>
        <v>0.30638115629115686</v>
      </c>
    </row>
    <row r="21" spans="1:16" ht="15" thickBot="1">
      <c r="A21" s="18"/>
      <c r="C21" s="152"/>
      <c r="D21" s="152"/>
      <c r="E21" s="152"/>
      <c r="F21" s="20"/>
      <c r="G21" s="20"/>
      <c r="H21" s="20"/>
      <c r="I21" s="20"/>
      <c r="J21" s="20">
        <f>F22*'LC factor'!L7</f>
        <v>290.99209013978799</v>
      </c>
      <c r="K21" s="20"/>
      <c r="L21" s="20"/>
      <c r="M21" s="20"/>
      <c r="N21" s="20"/>
      <c r="P21" t="s">
        <v>432</v>
      </c>
    </row>
    <row r="22" spans="1:16" ht="15" thickTop="1">
      <c r="A22" s="24" t="s">
        <v>67</v>
      </c>
      <c r="C22" s="152">
        <v>32.799999999999997</v>
      </c>
      <c r="D22" s="152"/>
      <c r="E22" s="152"/>
      <c r="F22" s="20">
        <f>100/C22/(1-H1)</f>
        <v>3.2772014272867658</v>
      </c>
      <c r="G22" s="20">
        <f>F22*'LC factor'!B7</f>
        <v>3.5151105343320541</v>
      </c>
      <c r="H22" s="20">
        <f>F22*'LC factor'!C7</f>
        <v>8.9417829394165139E-3</v>
      </c>
      <c r="I22" s="20">
        <f>F22*'LC factor'!D7</f>
        <v>4.8335124473889796E-2</v>
      </c>
      <c r="J22" s="20">
        <f>F22*'LC factor'!G24</f>
        <v>60.892830262958327</v>
      </c>
      <c r="K22" s="20">
        <f>F22*'LC factor'!M7</f>
        <v>1.4321450451649753</v>
      </c>
      <c r="L22" s="20">
        <f>F22*'LC factor'!N7</f>
        <v>4.5303095179589749E-3</v>
      </c>
      <c r="M22" s="20">
        <f>J22+K22*23+L22*0.296</f>
        <v>93.83350727337006</v>
      </c>
      <c r="N22" s="20">
        <f>G22+H22+I22</f>
        <v>3.5723874417453603</v>
      </c>
      <c r="O22" s="23">
        <f>1/N22</f>
        <v>0.2799248447451238</v>
      </c>
      <c r="P22">
        <f>1/N22*100</f>
        <v>27.992484474512381</v>
      </c>
    </row>
    <row r="23" spans="1:16">
      <c r="F23" s="20"/>
      <c r="G23" s="20"/>
      <c r="H23" s="20"/>
      <c r="I23" s="20"/>
      <c r="J23" s="20"/>
      <c r="K23" s="20"/>
      <c r="L23" s="20"/>
      <c r="M23" s="20"/>
      <c r="N23" s="20"/>
    </row>
    <row r="26" spans="1:16">
      <c r="D26" s="32" t="s">
        <v>94</v>
      </c>
      <c r="E26" s="32" t="s">
        <v>95</v>
      </c>
    </row>
    <row r="27" spans="1:16">
      <c r="C27" s="138" t="s">
        <v>282</v>
      </c>
      <c r="D27" s="20">
        <f>J17-J18</f>
        <v>298.04871222308083</v>
      </c>
      <c r="E27" s="23">
        <f>D27/J17</f>
        <v>0.82751923228639745</v>
      </c>
      <c r="F27" s="20">
        <f>D27/1000/1000*'CO2 t&amp;s'!A5</f>
        <v>7.8610347848837563E-3</v>
      </c>
      <c r="G27" s="20">
        <f>D27/1000000*'CO2 t&amp;s'!E6</f>
        <v>1.8924049628610308E-2</v>
      </c>
      <c r="H27" s="20">
        <f>D27/1000000*'CO2 t&amp;s'!F6</f>
        <v>1.4714158517108334E-3</v>
      </c>
      <c r="I27" s="20">
        <f>D27/1000000*'CO2 t&amp;s'!G6</f>
        <v>5.3497772740264079E-4</v>
      </c>
      <c r="J27" s="20"/>
      <c r="K27" s="20"/>
      <c r="L27" s="20"/>
      <c r="M27" s="20"/>
      <c r="N27" s="20"/>
      <c r="O27" s="23"/>
    </row>
    <row r="28" spans="1:16">
      <c r="C28" s="16" t="s">
        <v>82</v>
      </c>
      <c r="D28" s="20">
        <f>J19-J20</f>
        <v>220.00810233737164</v>
      </c>
      <c r="E28" s="23">
        <f>D28/J19</f>
        <v>0.82751923228639745</v>
      </c>
      <c r="F28" s="20">
        <f>D28/1000/1000*'CO2 t&amp;s'!A5</f>
        <v>5.802713699148177E-3</v>
      </c>
      <c r="G28" s="20">
        <f>D28/1000000*'CO2 t&amp;s'!E6</f>
        <v>1.3969005993263877E-2</v>
      </c>
      <c r="H28" s="20">
        <f>D28/1000000*'CO2 t&amp;s'!F6</f>
        <v>1.0861426203436515E-3</v>
      </c>
      <c r="I28" s="20">
        <f>D28/1000000*'CO2 t&amp;s'!G6</f>
        <v>3.9489999376518054E-4</v>
      </c>
      <c r="J28" s="20"/>
      <c r="K28" s="20"/>
      <c r="L28" s="20"/>
      <c r="M28" s="20"/>
      <c r="N28" s="20"/>
    </row>
    <row r="29" spans="1:16">
      <c r="C29" s="24" t="s">
        <v>67</v>
      </c>
      <c r="D29" s="20">
        <f>J21-J22</f>
        <v>230.09925987682965</v>
      </c>
      <c r="E29" s="23">
        <f>D29/J21</f>
        <v>0.79074059974033528</v>
      </c>
      <c r="F29" s="20">
        <f>D29/1000/1000*'CO2 t&amp;s'!A5</f>
        <v>6.0688679792513817E-3</v>
      </c>
      <c r="G29" s="20">
        <f>D29/1000000*'CO2 t&amp;s'!E6</f>
        <v>1.4609725306098539E-2</v>
      </c>
      <c r="H29" s="20">
        <f>D29/1000000*'CO2 t&amp;s'!F6</f>
        <v>1.1359609505586007E-3</v>
      </c>
      <c r="I29" s="20">
        <f>D29/1000000*'CO2 t&amp;s'!G6</f>
        <v>4.1301295418381376E-4</v>
      </c>
      <c r="J29" s="20"/>
      <c r="K29" s="20"/>
      <c r="L29" s="20"/>
      <c r="M29" s="20"/>
      <c r="N29" s="20"/>
    </row>
    <row r="32" spans="1:16">
      <c r="G32" s="20">
        <f>G18+G27</f>
        <v>4.3697023713679073</v>
      </c>
      <c r="H32" s="20">
        <f>H18+H27</f>
        <v>1.2538981150309386E-2</v>
      </c>
      <c r="I32" s="20">
        <f>I18+I27</f>
        <v>6.0361094057349254E-2</v>
      </c>
      <c r="M32" s="20">
        <f>M18+M27</f>
        <v>102.89448636282678</v>
      </c>
      <c r="N32" s="20">
        <f>N18+N27</f>
        <v>4.4216720033678421</v>
      </c>
    </row>
    <row r="33" spans="7:14">
      <c r="G33" s="20">
        <f>G20+G28</f>
        <v>3.2255463186977589</v>
      </c>
      <c r="H33" s="20">
        <f>H20+H28</f>
        <v>9.2557938853258699E-3</v>
      </c>
      <c r="I33" s="20">
        <f>I20+I28</f>
        <v>4.4556239345954179E-2</v>
      </c>
      <c r="M33" s="20">
        <f>M20+M28</f>
        <v>75.952754557518361</v>
      </c>
      <c r="N33" s="20">
        <f>N20+N28</f>
        <v>3.2639083033216658</v>
      </c>
    </row>
    <row r="34" spans="7:14">
      <c r="G34" s="20">
        <f>G22+G29</f>
        <v>3.5297202596381525</v>
      </c>
      <c r="H34" s="20">
        <f>H22+H29</f>
        <v>1.0077743889975115E-2</v>
      </c>
      <c r="I34" s="20">
        <f>I22+I29</f>
        <v>4.8748137428073608E-2</v>
      </c>
      <c r="M34" s="20">
        <f>M22+M29</f>
        <v>93.83350727337006</v>
      </c>
      <c r="N34" s="20">
        <f>N22+N29</f>
        <v>3.5723874417453603</v>
      </c>
    </row>
    <row r="35" spans="7:14" ht="15" thickBot="1"/>
    <row r="36" spans="7:14">
      <c r="M36" s="170">
        <f t="shared" ref="M36:N38" si="0">M27/M32</f>
        <v>0</v>
      </c>
      <c r="N36" s="171">
        <f t="shared" si="0"/>
        <v>0</v>
      </c>
    </row>
    <row r="37" spans="7:14">
      <c r="M37" s="172">
        <f t="shared" si="0"/>
        <v>0</v>
      </c>
      <c r="N37" s="65">
        <f t="shared" si="0"/>
        <v>0</v>
      </c>
    </row>
    <row r="38" spans="7:14">
      <c r="M38" s="172">
        <f t="shared" si="0"/>
        <v>0</v>
      </c>
      <c r="N38" s="65">
        <f t="shared" si="0"/>
        <v>0</v>
      </c>
    </row>
    <row r="39" spans="7:14" ht="15" thickBot="1">
      <c r="M39" s="149" t="s">
        <v>332</v>
      </c>
      <c r="N39" s="173" t="s">
        <v>333</v>
      </c>
    </row>
  </sheetData>
  <phoneticPr fontId="9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11</xdr:row>
                <xdr:rowOff>190500</xdr:rowOff>
              </to>
            </anchor>
          </objectPr>
        </oleObject>
      </mc:Choice>
      <mc:Fallback>
        <oleObject progId="Equation.DSMT4" shapeId="4097" r:id="rId3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J25" sqref="J25"/>
    </sheetView>
  </sheetViews>
  <sheetFormatPr defaultRowHeight="14.4"/>
  <cols>
    <col min="3" max="5" width="22.88671875" customWidth="1"/>
    <col min="7" max="7" width="13.88671875" customWidth="1"/>
    <col min="10" max="10" width="9.44140625" bestFit="1" customWidth="1"/>
  </cols>
  <sheetData>
    <row r="1" spans="1:15">
      <c r="G1" s="6" t="s">
        <v>99</v>
      </c>
      <c r="H1" s="23">
        <v>3.8999999999999998E-3</v>
      </c>
      <c r="I1" s="6"/>
    </row>
    <row r="2" spans="1:15" ht="24">
      <c r="G2" s="24" t="s">
        <v>57</v>
      </c>
      <c r="H2" s="23">
        <v>3.8999999999999998E-3</v>
      </c>
    </row>
    <row r="8" spans="1:15">
      <c r="C8" s="44" t="s">
        <v>102</v>
      </c>
      <c r="D8" s="44"/>
      <c r="E8" s="44"/>
      <c r="F8" s="29">
        <v>0</v>
      </c>
      <c r="G8" s="28" t="s">
        <v>84</v>
      </c>
    </row>
    <row r="9" spans="1:15">
      <c r="C9" s="32"/>
      <c r="D9" s="136"/>
      <c r="E9" s="136"/>
      <c r="G9" s="32"/>
    </row>
    <row r="10" spans="1:15" ht="15" thickBot="1"/>
    <row r="11" spans="1:15" ht="16.2" thickBot="1">
      <c r="A11" s="11"/>
      <c r="F11" s="36"/>
      <c r="G11" s="37" t="s">
        <v>47</v>
      </c>
      <c r="H11" s="37"/>
      <c r="I11" s="38"/>
      <c r="J11" s="36" t="s">
        <v>49</v>
      </c>
      <c r="K11" s="37" t="s">
        <v>49</v>
      </c>
      <c r="L11" s="38" t="s">
        <v>51</v>
      </c>
      <c r="M11" s="36"/>
      <c r="N11" s="38"/>
      <c r="O11" s="32" t="s">
        <v>96</v>
      </c>
    </row>
    <row r="12" spans="1:15" ht="15.6" thickTop="1" thickBot="1">
      <c r="A12" s="15" t="s">
        <v>12</v>
      </c>
      <c r="B12" s="15"/>
      <c r="C12" s="15" t="s">
        <v>20</v>
      </c>
      <c r="D12" s="155"/>
      <c r="E12" s="155"/>
      <c r="F12" s="45" t="s">
        <v>59</v>
      </c>
      <c r="G12" s="46" t="s">
        <v>60</v>
      </c>
      <c r="H12" s="46" t="s">
        <v>33</v>
      </c>
      <c r="I12" s="43" t="s">
        <v>35</v>
      </c>
      <c r="J12" s="41" t="s">
        <v>38</v>
      </c>
      <c r="K12" s="42" t="s">
        <v>42</v>
      </c>
      <c r="L12" s="43" t="s">
        <v>44</v>
      </c>
      <c r="M12" s="41" t="s">
        <v>53</v>
      </c>
      <c r="N12" s="43" t="s">
        <v>74</v>
      </c>
    </row>
    <row r="13" spans="1:15">
      <c r="A13" s="47" t="s">
        <v>100</v>
      </c>
      <c r="B13" s="17"/>
      <c r="C13" s="16">
        <v>51</v>
      </c>
      <c r="D13" s="16"/>
      <c r="E13" s="16"/>
      <c r="F13" s="20">
        <f>100/C13/(1-H2)</f>
        <v>1.9684613128455879</v>
      </c>
      <c r="G13" s="20">
        <f>F13*'LC factor'!B7</f>
        <v>2.1113621639476858</v>
      </c>
      <c r="H13" s="20">
        <f>F13*'LC factor'!C7</f>
        <v>5.3709099591954731E-3</v>
      </c>
      <c r="I13" s="20">
        <f>F13*'LC factor'!D7</f>
        <v>2.9032644068265397E-2</v>
      </c>
      <c r="J13" s="20">
        <f>F13*'LC factor'!L7</f>
        <v>174.78531133757079</v>
      </c>
      <c r="K13" s="20">
        <f>F13*'LC factor'!M7</f>
        <v>0.86022241181700454</v>
      </c>
      <c r="L13" s="20">
        <f>F13*'LC factor'!N7</f>
        <v>2.7211446165826582E-3</v>
      </c>
      <c r="M13" s="20">
        <f>J13+K13*23+L13*0.296</f>
        <v>194.57123226816839</v>
      </c>
      <c r="N13" s="20">
        <f>G13+H13+I13</f>
        <v>2.1457657179751468</v>
      </c>
      <c r="O13" s="23">
        <f>1/N13</f>
        <v>0.46603410224283509</v>
      </c>
    </row>
    <row r="14" spans="1:15" ht="15" thickBot="1">
      <c r="A14" s="48" t="s">
        <v>101</v>
      </c>
      <c r="B14" s="19"/>
      <c r="C14" s="18">
        <v>51</v>
      </c>
      <c r="D14" s="152"/>
      <c r="E14" s="152"/>
      <c r="F14" s="20">
        <f>100/C14/(1-H2)</f>
        <v>1.9684613128455879</v>
      </c>
      <c r="G14" s="20">
        <f>F14*'LC factor'!B7</f>
        <v>2.1113621639476858</v>
      </c>
      <c r="H14" s="20">
        <f>F14*'LC factor'!C7</f>
        <v>5.3709099591954731E-3</v>
      </c>
      <c r="I14" s="20">
        <f>F14*'LC factor'!D7</f>
        <v>2.9032644068265397E-2</v>
      </c>
      <c r="J14" s="20">
        <f>F14*'LC factor'!L7</f>
        <v>174.78531133757079</v>
      </c>
      <c r="K14" s="20">
        <f>F14*'LC factor'!M7</f>
        <v>0.86022241181700454</v>
      </c>
      <c r="L14" s="20">
        <f>F14*'LC factor'!N7</f>
        <v>2.7211446165826582E-3</v>
      </c>
      <c r="M14" s="20">
        <f>J14+K14*23+L14*0.296</f>
        <v>194.57123226816839</v>
      </c>
      <c r="N14" s="20">
        <f>G14+H14+I14</f>
        <v>2.1457657179751468</v>
      </c>
      <c r="O14" s="23">
        <f>1/N14</f>
        <v>0.46603410224283509</v>
      </c>
    </row>
    <row r="15" spans="1:15" ht="15" thickTop="1">
      <c r="F15" s="20"/>
      <c r="G15" s="20"/>
      <c r="H15" s="20"/>
      <c r="I15" s="20"/>
      <c r="J15" s="20"/>
      <c r="K15" s="20"/>
      <c r="L15" s="20"/>
      <c r="M15" s="20"/>
      <c r="N15" s="20"/>
    </row>
    <row r="16" spans="1:15">
      <c r="F16" s="20"/>
      <c r="G16" s="20"/>
      <c r="H16" s="20"/>
      <c r="I16" s="20"/>
      <c r="J16" s="20">
        <f>F17*'LC factor'!O7</f>
        <v>196.29168253409165</v>
      </c>
      <c r="K16" s="20"/>
      <c r="L16" s="20"/>
      <c r="M16" s="20"/>
      <c r="N16" s="20"/>
    </row>
    <row r="17" spans="1:15">
      <c r="A17" s="47" t="s">
        <v>118</v>
      </c>
      <c r="C17" s="16">
        <f>C13-F8</f>
        <v>51</v>
      </c>
      <c r="D17" s="16"/>
      <c r="E17" s="16"/>
      <c r="F17" s="20">
        <f>100/C17/(1-H2)</f>
        <v>1.9684613128455879</v>
      </c>
      <c r="G17" s="20">
        <f>F17*'LC factor'!B7</f>
        <v>2.1113621639476858</v>
      </c>
      <c r="H17" s="20">
        <f>F17*'LC factor'!C7</f>
        <v>5.3709099591954731E-3</v>
      </c>
      <c r="I17" s="20">
        <f>F17*'LC factor'!D7</f>
        <v>2.9032644068265397E-2</v>
      </c>
      <c r="J17" s="20">
        <f>F17*'LC factor'!L7</f>
        <v>174.78531133757079</v>
      </c>
      <c r="K17" s="20">
        <f>F17*'LC factor'!M7</f>
        <v>0.86022241181700454</v>
      </c>
      <c r="L17" s="20">
        <f>F17*'LC factor'!N7</f>
        <v>2.7211446165826582E-3</v>
      </c>
      <c r="M17" s="20">
        <f>J17-J19*0.74+K17*23+L17*0.296</f>
        <v>123.19118857569718</v>
      </c>
      <c r="N17" s="20">
        <f>G17+H17+I17</f>
        <v>2.1457657179751468</v>
      </c>
      <c r="O17" s="23">
        <f>1/N17</f>
        <v>0.46603410224283509</v>
      </c>
    </row>
    <row r="18" spans="1:15">
      <c r="A18" s="47"/>
      <c r="C18" s="16"/>
      <c r="D18" s="16"/>
      <c r="E18" s="16"/>
      <c r="F18" s="20"/>
      <c r="G18" s="20"/>
      <c r="H18" s="20"/>
      <c r="I18" t="s">
        <v>69</v>
      </c>
      <c r="J18" s="20">
        <f>(1+H1)*64</f>
        <v>64.249600000000001</v>
      </c>
      <c r="K18" s="20"/>
      <c r="L18" s="20"/>
      <c r="M18" s="20"/>
      <c r="N18" s="20"/>
      <c r="O18" s="23"/>
    </row>
    <row r="19" spans="1:15">
      <c r="A19" s="47"/>
      <c r="C19" s="16"/>
      <c r="D19" s="16"/>
      <c r="E19" s="16"/>
      <c r="F19" s="20"/>
      <c r="G19" s="20"/>
      <c r="H19" s="20"/>
      <c r="I19" t="s">
        <v>70</v>
      </c>
      <c r="J19" s="20">
        <f>F17*('LC factor'!L7-'LC factor'!E7)-J18</f>
        <v>96.459518503339481</v>
      </c>
      <c r="K19" s="20"/>
      <c r="L19" s="20"/>
      <c r="M19" s="20"/>
      <c r="N19" s="20"/>
      <c r="O19" s="23"/>
    </row>
    <row r="20" spans="1:15">
      <c r="A20" s="47"/>
      <c r="C20" s="16"/>
      <c r="D20" s="16"/>
      <c r="E20" s="16"/>
      <c r="F20" s="20"/>
      <c r="G20" s="20"/>
      <c r="H20" s="20"/>
      <c r="I20" s="20"/>
      <c r="J20" s="20"/>
      <c r="K20" s="20"/>
      <c r="L20" s="20"/>
      <c r="M20" s="20"/>
      <c r="N20" s="20"/>
      <c r="O20" s="23"/>
    </row>
    <row r="21" spans="1:15" ht="15" thickBot="1">
      <c r="A21" s="18"/>
      <c r="C21" s="16"/>
      <c r="D21" s="16"/>
      <c r="E21" s="16"/>
      <c r="F21" s="20"/>
      <c r="G21" s="20"/>
      <c r="H21" s="20"/>
      <c r="I21" s="20"/>
      <c r="J21" s="20">
        <f>F22*'LC factor'!O7</f>
        <v>196.29168253409165</v>
      </c>
      <c r="K21" s="20"/>
      <c r="L21" s="20"/>
      <c r="M21" s="20"/>
      <c r="N21" s="20"/>
    </row>
    <row r="22" spans="1:15" ht="15" thickTop="1">
      <c r="A22" s="49" t="s">
        <v>119</v>
      </c>
      <c r="C22" s="16">
        <f>C14-F8</f>
        <v>51</v>
      </c>
      <c r="D22" s="16"/>
      <c r="E22" s="16"/>
      <c r="F22" s="20">
        <f>100/C22/(1-H2)</f>
        <v>1.9684613128455879</v>
      </c>
      <c r="G22" s="20">
        <f>F22*'LC factor'!B7</f>
        <v>2.1113621639476858</v>
      </c>
      <c r="H22" s="20">
        <f>F22*'LC factor'!C7</f>
        <v>5.3709099591954731E-3</v>
      </c>
      <c r="I22" s="20">
        <f>F22*'LC factor'!D7</f>
        <v>2.9032644068265397E-2</v>
      </c>
      <c r="J22" s="20">
        <f>F22*'LC factor'!L7</f>
        <v>174.78531133757079</v>
      </c>
      <c r="K22" s="20">
        <f>F22*'LC factor'!M7</f>
        <v>0.86022241181700454</v>
      </c>
      <c r="L22" s="20">
        <f>F22*'LC factor'!N7</f>
        <v>2.7211446165826582E-3</v>
      </c>
      <c r="M22" s="20">
        <f>J22-J24*0.74+K22*23+L22*0.296</f>
        <v>123.00648457569719</v>
      </c>
      <c r="N22" s="20">
        <f>G22+H22+I22</f>
        <v>2.1457657179751468</v>
      </c>
      <c r="O22" s="23">
        <f>1/N22</f>
        <v>0.46603410224283509</v>
      </c>
    </row>
    <row r="23" spans="1:15">
      <c r="F23" s="20"/>
      <c r="G23" s="20"/>
      <c r="H23" s="20"/>
      <c r="I23" t="s">
        <v>69</v>
      </c>
      <c r="J23" s="20">
        <f>(1+H6)*64</f>
        <v>64</v>
      </c>
      <c r="K23" s="20"/>
      <c r="L23" s="20"/>
      <c r="M23" s="20"/>
      <c r="N23" s="20"/>
    </row>
    <row r="24" spans="1:15">
      <c r="I24" t="s">
        <v>70</v>
      </c>
      <c r="J24" s="20">
        <f>F22*('LC factor'!L7-'LC factor'!E7)-J23</f>
        <v>96.709118503339482</v>
      </c>
    </row>
    <row r="26" spans="1:15">
      <c r="D26" s="32" t="s">
        <v>94</v>
      </c>
      <c r="E26" s="32" t="s">
        <v>95</v>
      </c>
    </row>
    <row r="27" spans="1:15" ht="24">
      <c r="B27" s="16" t="s">
        <v>331</v>
      </c>
      <c r="D27" s="20">
        <f>J16-M17</f>
        <v>73.100493958394466</v>
      </c>
      <c r="E27" s="23">
        <f>D27/J16</f>
        <v>0.37240749589936639</v>
      </c>
      <c r="F27" s="151">
        <f>D27/1000/1000*'CO2 t&amp;s'!A5</f>
        <v>1.9280255281526541E-3</v>
      </c>
      <c r="G27" s="151">
        <f>D27/1000000*'CO2 t&amp;s'!E6</f>
        <v>4.6413801463070304E-3</v>
      </c>
      <c r="H27" s="151">
        <f>D27/1000000*'CO2 t&amp;s'!F6</f>
        <v>3.6088471839384149E-4</v>
      </c>
      <c r="I27" s="151">
        <f>D27/1000000*'CO2 t&amp;s'!G6</f>
        <v>1.3121055225563861E-4</v>
      </c>
      <c r="J27" s="151">
        <f>D27/1000000*'CO2 t&amp;s'!H6</f>
        <v>0.40912993378646012</v>
      </c>
      <c r="K27" s="151">
        <f>D27/1000000*'CO2 t&amp;s'!I6</f>
        <v>1.9172823664026337E-3</v>
      </c>
      <c r="L27" s="151">
        <f>D27/1000000*'CO2 t&amp;s'!J6</f>
        <v>6.441281635395733E-6</v>
      </c>
      <c r="M27" s="151">
        <f>J27+K27*23+L27*0.296</f>
        <v>0.45322933483308475</v>
      </c>
      <c r="N27" s="151">
        <f>G27+H27+I27</f>
        <v>5.1334754169565103E-3</v>
      </c>
    </row>
    <row r="28" spans="1:15">
      <c r="B28" s="24" t="s">
        <v>330</v>
      </c>
      <c r="D28" s="20">
        <f>J21-M22</f>
        <v>73.285197958394463</v>
      </c>
      <c r="E28" s="23">
        <f>D28/J21</f>
        <v>0.37334846292158302</v>
      </c>
      <c r="F28" s="151">
        <f>D28/1000/1000*'CO2 t&amp;s'!A5</f>
        <v>1.9328970961526538E-3</v>
      </c>
      <c r="G28" s="151">
        <f>D28/1000000*'CO2 t&amp;s'!E6</f>
        <v>4.653107583867595E-3</v>
      </c>
      <c r="H28" s="151">
        <f>D28/1000000*'CO2 t&amp;s'!F6</f>
        <v>3.6179657065935636E-4</v>
      </c>
      <c r="I28" s="151">
        <f>D28/1000000*'CO2 t&amp;s'!G6</f>
        <v>1.3154208372049601E-4</v>
      </c>
      <c r="J28" s="151">
        <f>D28/1000000*'CO2 t&amp;s'!H6</f>
        <v>0.41016368788575669</v>
      </c>
      <c r="K28" s="151">
        <f>D28/1000000*'CO2 t&amp;s'!I6</f>
        <v>1.9221267895115335E-3</v>
      </c>
      <c r="L28" s="151">
        <f>D28/1000000*'CO2 t&amp;s'!J6</f>
        <v>6.4575569082257815E-6</v>
      </c>
      <c r="M28" s="151">
        <f>J28+K28*23+L28*0.296</f>
        <v>0.45437451548136681</v>
      </c>
      <c r="N28" s="151">
        <f>G28+H28+I28</f>
        <v>5.1464462382474476E-3</v>
      </c>
    </row>
    <row r="30" spans="1:15">
      <c r="G30" s="20">
        <f>G17+G27</f>
        <v>2.116003544093993</v>
      </c>
      <c r="H30" s="20">
        <f t="shared" ref="H30:N30" si="0">H17+H27</f>
        <v>5.7317946775893146E-3</v>
      </c>
      <c r="I30" s="20">
        <f t="shared" si="0"/>
        <v>2.9163854620521037E-2</v>
      </c>
      <c r="J30" s="20">
        <f t="shared" si="0"/>
        <v>175.19444127135725</v>
      </c>
      <c r="K30" s="20">
        <f t="shared" si="0"/>
        <v>0.86213969418340719</v>
      </c>
      <c r="L30" s="20">
        <f t="shared" si="0"/>
        <v>2.727585898218054E-3</v>
      </c>
      <c r="M30" s="20">
        <f>M17+M27</f>
        <v>123.64441791053027</v>
      </c>
      <c r="N30" s="20">
        <f t="shared" si="0"/>
        <v>2.1508991933921031</v>
      </c>
    </row>
    <row r="31" spans="1:15">
      <c r="G31" s="20">
        <f>G22+G28</f>
        <v>2.1160152715315532</v>
      </c>
      <c r="H31" s="20">
        <f t="shared" ref="H31:N31" si="1">H22+H28</f>
        <v>5.7327065298548299E-3</v>
      </c>
      <c r="I31" s="20">
        <f t="shared" si="1"/>
        <v>2.9164186151985894E-2</v>
      </c>
      <c r="J31" s="20">
        <f t="shared" si="1"/>
        <v>175.19547502545655</v>
      </c>
      <c r="K31" s="20">
        <f t="shared" si="1"/>
        <v>0.86214453860651608</v>
      </c>
      <c r="L31" s="20">
        <f t="shared" si="1"/>
        <v>2.727602173490884E-3</v>
      </c>
      <c r="M31" s="20">
        <f t="shared" si="1"/>
        <v>123.46085909117855</v>
      </c>
      <c r="N31" s="20">
        <f t="shared" si="1"/>
        <v>2.1509121642133944</v>
      </c>
    </row>
    <row r="33" spans="13:14">
      <c r="M33" s="23">
        <f>M27/M30</f>
        <v>3.6655867081766993E-3</v>
      </c>
      <c r="N33" s="23">
        <f>N27/N30</f>
        <v>2.3866648110368654E-3</v>
      </c>
    </row>
    <row r="34" spans="13:14">
      <c r="M34" s="23">
        <f>M28/M31</f>
        <v>3.6803122773169856E-3</v>
      </c>
      <c r="N34" s="23">
        <f>N28/N31</f>
        <v>2.3926808002081032E-3</v>
      </c>
    </row>
  </sheetData>
  <phoneticPr fontId="2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34529" r:id="rId3">
          <objectPr defaultSize="0" autoPict="0" r:id="rId4">
            <anchor moveWithCells="1" siz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11</xdr:row>
                <xdr:rowOff>182880</xdr:rowOff>
              </to>
            </anchor>
          </objectPr>
        </oleObject>
      </mc:Choice>
      <mc:Fallback>
        <oleObject progId="Equation.DSMT4" shapeId="534529" r:id="rId3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J25" sqref="J25"/>
    </sheetView>
  </sheetViews>
  <sheetFormatPr defaultRowHeight="14.4"/>
  <cols>
    <col min="1" max="1" width="15.44140625" customWidth="1"/>
    <col min="7" max="7" width="8.88671875" style="51" customWidth="1"/>
  </cols>
  <sheetData>
    <row r="1" spans="1:7" ht="15" thickBot="1">
      <c r="B1" s="32" t="s">
        <v>117</v>
      </c>
      <c r="G1" s="50" t="s">
        <v>116</v>
      </c>
    </row>
    <row r="2" spans="1:7" ht="15" thickBot="1">
      <c r="B2" s="1" t="s">
        <v>113</v>
      </c>
      <c r="C2" s="2" t="s">
        <v>114</v>
      </c>
      <c r="D2" s="2" t="s">
        <v>115</v>
      </c>
      <c r="E2" s="30" t="s">
        <v>120</v>
      </c>
      <c r="F2" s="30"/>
      <c r="G2" s="50" t="s">
        <v>121</v>
      </c>
    </row>
    <row r="3" spans="1:7" ht="27.6">
      <c r="B3" s="30" t="s">
        <v>136</v>
      </c>
      <c r="C3" s="30" t="s">
        <v>136</v>
      </c>
      <c r="D3" s="30" t="s">
        <v>136</v>
      </c>
      <c r="E3" s="30" t="s">
        <v>136</v>
      </c>
      <c r="F3" s="30"/>
      <c r="G3" s="30" t="s">
        <v>163</v>
      </c>
    </row>
    <row r="4" spans="1:7">
      <c r="B4" s="30"/>
      <c r="C4" s="30"/>
      <c r="D4" s="30"/>
      <c r="E4" s="30"/>
      <c r="F4" s="30"/>
      <c r="G4" s="50"/>
    </row>
    <row r="5" spans="1:7">
      <c r="A5" s="4" t="s">
        <v>6</v>
      </c>
      <c r="B5" s="20">
        <f>'LC factor'!B10</f>
        <v>7.4260045413688622E-2</v>
      </c>
      <c r="C5" s="20">
        <f>'LC factor'!C10</f>
        <v>5.0176246572035947E-2</v>
      </c>
      <c r="D5" s="20">
        <f>'LC factor'!D10</f>
        <v>1.1536512570529016</v>
      </c>
      <c r="E5" s="20">
        <f t="shared" ref="E5:E13" si="0">SUM(B5:D5)</f>
        <v>1.2780875490386261</v>
      </c>
      <c r="F5" s="20"/>
      <c r="G5" s="51">
        <f>'LC factor'!O10</f>
        <v>91.001421303389492</v>
      </c>
    </row>
    <row r="6" spans="1:7">
      <c r="A6" s="4" t="s">
        <v>5</v>
      </c>
      <c r="B6" s="20">
        <f>'LC factor'!B9</f>
        <v>7.2286083298277556E-2</v>
      </c>
      <c r="C6" s="20">
        <f>'LC factor'!C9</f>
        <v>4.9578985063534531E-2</v>
      </c>
      <c r="D6" s="20">
        <f>'LC factor'!D9</f>
        <v>1.1472286156546083</v>
      </c>
      <c r="E6" s="20">
        <f t="shared" si="0"/>
        <v>1.2690936840164204</v>
      </c>
      <c r="F6" s="20"/>
      <c r="G6" s="51">
        <f>'LC factor'!O9</f>
        <v>93.100430294232638</v>
      </c>
    </row>
    <row r="7" spans="1:7">
      <c r="A7" s="390" t="s">
        <v>132</v>
      </c>
      <c r="B7" s="391">
        <f>'NG-based'!U13/1000</f>
        <v>8.0233746761710939E-2</v>
      </c>
      <c r="C7" s="391">
        <f>'NG-based'!U14/1000</f>
        <v>1.1236802529092145</v>
      </c>
      <c r="D7" s="391">
        <f>'NG-based'!U15/1000</f>
        <v>7.5396556387621796E-3</v>
      </c>
      <c r="E7" s="391">
        <f t="shared" si="0"/>
        <v>1.2114536553096875</v>
      </c>
      <c r="F7" s="391"/>
      <c r="G7" s="392">
        <f>'NG-based'!U21</f>
        <v>73.402892731134273</v>
      </c>
    </row>
    <row r="8" spans="1:7">
      <c r="A8" s="390" t="s">
        <v>512</v>
      </c>
      <c r="B8" s="391">
        <f>'NG-based'!AE13/1000</f>
        <v>1.6573263318956328E-2</v>
      </c>
      <c r="C8" s="391">
        <f>'NG-based'!AE14/1000</f>
        <v>1.2286916117785331</v>
      </c>
      <c r="D8" s="391">
        <f>'NG-based'!AE15/1000</f>
        <v>3.9834975800798998E-2</v>
      </c>
      <c r="E8" s="391">
        <f t="shared" si="0"/>
        <v>1.2850998508982885</v>
      </c>
      <c r="F8" s="391"/>
      <c r="G8" s="392">
        <f>'NG-based'!AE21</f>
        <v>76.135711530771573</v>
      </c>
    </row>
    <row r="9" spans="1:7">
      <c r="A9" s="390" t="s">
        <v>513</v>
      </c>
      <c r="B9" s="391">
        <f>'NG-based'!BG13/1000</f>
        <v>9.3004387641140621E-2</v>
      </c>
      <c r="C9" s="391">
        <f>'NG-based'!BG14/1000</f>
        <v>3.1059880069929036</v>
      </c>
      <c r="D9" s="391">
        <f>'NG-based'!BG15/1000</f>
        <v>0.10144858152696959</v>
      </c>
      <c r="E9" s="391">
        <f t="shared" si="0"/>
        <v>3.3004409761610138</v>
      </c>
      <c r="F9" s="391"/>
      <c r="G9" s="392">
        <f>'NG-based'!BG21</f>
        <v>214.30389057678369</v>
      </c>
    </row>
    <row r="10" spans="1:7">
      <c r="A10" s="20" t="s">
        <v>103</v>
      </c>
      <c r="B10" s="20">
        <f>CtL!J8</f>
        <v>2.6376538521150565</v>
      </c>
      <c r="C10" s="20">
        <f>CtL!K8</f>
        <v>7.051317584928548E-3</v>
      </c>
      <c r="D10" s="20">
        <f>CtL!L8</f>
        <v>4.1109677830514037E-2</v>
      </c>
      <c r="E10" s="20">
        <f t="shared" si="0"/>
        <v>2.6858148475304993</v>
      </c>
      <c r="F10" s="20"/>
      <c r="G10" s="20">
        <f>CtL!P8</f>
        <v>245.54400731303613</v>
      </c>
    </row>
    <row r="11" spans="1:7">
      <c r="A11" s="179" t="s">
        <v>129</v>
      </c>
      <c r="B11" s="176">
        <f>CtL!J18</f>
        <v>2.1779343014168115</v>
      </c>
      <c r="C11" s="176">
        <f>CtL!K18</f>
        <v>5.8818771376935326E-3</v>
      </c>
      <c r="D11" s="176">
        <f>CtL!L18</f>
        <v>3.4788226061344345E-2</v>
      </c>
      <c r="E11" s="176">
        <f t="shared" si="0"/>
        <v>2.2186044046158493</v>
      </c>
      <c r="F11" s="176"/>
      <c r="G11" s="178">
        <f>CtL!P18</f>
        <v>202.85171155398555</v>
      </c>
    </row>
    <row r="12" spans="1:7">
      <c r="A12" s="32" t="s">
        <v>106</v>
      </c>
      <c r="B12" s="20">
        <f>'CtL(CCS)'!J27</f>
        <v>3.2624820376027537</v>
      </c>
      <c r="C12" s="20">
        <f>'CtL(CCS)'!K27</f>
        <v>9.3859992053064358E-3</v>
      </c>
      <c r="D12" s="20">
        <f>'CtL(CCS)'!L27</f>
        <v>4.9845349494743146E-2</v>
      </c>
      <c r="E12" s="20">
        <f t="shared" si="0"/>
        <v>3.3217133863028034</v>
      </c>
      <c r="F12" s="20"/>
      <c r="G12" s="51">
        <f>'CtL(CCS)'!P27</f>
        <v>147.62835703955528</v>
      </c>
    </row>
    <row r="13" spans="1:7">
      <c r="A13" s="174" t="s">
        <v>128</v>
      </c>
      <c r="B13" s="176">
        <f>'CtL(CCS)'!J18</f>
        <v>2.5963910128217091</v>
      </c>
      <c r="C13" s="176">
        <f>'CtL(CCS)'!K18</f>
        <v>1.4444690369418353E-2</v>
      </c>
      <c r="D13" s="176">
        <f>'CtL(CCS)'!L18</f>
        <v>4.1989818216615703E-2</v>
      </c>
      <c r="E13" s="176">
        <f t="shared" si="0"/>
        <v>2.6528255214077432</v>
      </c>
      <c r="F13" s="176"/>
      <c r="G13" s="178">
        <f>'CtL(CCS)'!P28</f>
        <v>160.64586255661828</v>
      </c>
    </row>
    <row r="14" spans="1:7">
      <c r="A14" s="32"/>
      <c r="B14" s="20"/>
      <c r="C14" s="20"/>
      <c r="D14" s="20"/>
      <c r="E14" s="20"/>
      <c r="F14" s="20"/>
    </row>
    <row r="15" spans="1:7">
      <c r="A15" s="136" t="s">
        <v>304</v>
      </c>
      <c r="B15" s="20">
        <f>'LC factor'!B12</f>
        <v>2.4073229729246317</v>
      </c>
      <c r="C15" s="20">
        <f>'LC factor'!C12</f>
        <v>0.18717839215522458</v>
      </c>
      <c r="D15" s="20">
        <f>'LC factor'!D12</f>
        <v>6.8054364602401593E-2</v>
      </c>
      <c r="E15" s="20">
        <f>SUM(B15:D15)</f>
        <v>2.662555729682258</v>
      </c>
      <c r="F15" s="20"/>
      <c r="G15" s="51">
        <f>'LC factor'!O12</f>
        <v>237.06320573794014</v>
      </c>
    </row>
    <row r="16" spans="1:7">
      <c r="A16" s="136" t="s">
        <v>305</v>
      </c>
      <c r="B16" s="20">
        <f>GridE!N24</f>
        <v>3.0885094322849036</v>
      </c>
      <c r="C16" s="20">
        <f>GridE!O24</f>
        <v>7.856589623597832E-3</v>
      </c>
      <c r="D16" s="20">
        <f>GridE!P24</f>
        <v>4.2469073558347468E-2</v>
      </c>
      <c r="E16" s="20">
        <f>SUM(B16:D16)</f>
        <v>3.1388350954668489</v>
      </c>
      <c r="F16" s="20"/>
      <c r="G16" s="20">
        <f>GridE!Q24</f>
        <v>287.23629681233598</v>
      </c>
    </row>
    <row r="17" spans="1:7">
      <c r="A17" s="136" t="s">
        <v>306</v>
      </c>
      <c r="B17" s="20">
        <f>GridE!N25</f>
        <v>2.0511011540665178</v>
      </c>
      <c r="C17" s="20">
        <f>GridE!O25</f>
        <v>5.4610033217740725E-3</v>
      </c>
      <c r="D17" s="20">
        <f>GridE!P25</f>
        <v>2.8468263074414142E-2</v>
      </c>
      <c r="E17" s="20">
        <f>SUM(B17:D17)</f>
        <v>2.0850304204627057</v>
      </c>
      <c r="F17" s="20"/>
      <c r="G17" s="20">
        <f>GridE!Q25</f>
        <v>192.27254380410039</v>
      </c>
    </row>
    <row r="18" spans="1:7">
      <c r="A18" s="136"/>
      <c r="B18" s="20"/>
      <c r="C18" s="20"/>
      <c r="D18" s="20"/>
      <c r="E18" s="20"/>
      <c r="F18" s="20"/>
      <c r="G18" s="20"/>
    </row>
    <row r="19" spans="1:7">
      <c r="A19" s="138" t="s">
        <v>323</v>
      </c>
      <c r="B19" s="20">
        <f>PV!U25</f>
        <v>0.17614814191695108</v>
      </c>
      <c r="C19" s="20">
        <f>PV!V25</f>
        <v>1.382089071127437E-3</v>
      </c>
      <c r="D19" s="20">
        <f>PV!W25</f>
        <v>2.3291593875500203E-2</v>
      </c>
      <c r="E19" s="20">
        <f>SUM(B19:D19)</f>
        <v>0.20082182486357872</v>
      </c>
      <c r="F19" s="20"/>
      <c r="G19" s="20">
        <f>PV!X25</f>
        <v>20.547014472913819</v>
      </c>
    </row>
    <row r="20" spans="1:7">
      <c r="A20" s="138" t="s">
        <v>324</v>
      </c>
      <c r="B20" s="20">
        <f>PV!U26</f>
        <v>0.27751534497256325</v>
      </c>
      <c r="C20" s="20">
        <f>PV!V26</f>
        <v>2.1774338416670536E-3</v>
      </c>
      <c r="D20" s="20">
        <f>PV!W26</f>
        <v>3.6695105829545271E-2</v>
      </c>
      <c r="E20" s="20">
        <f>SUM(B20:D20)</f>
        <v>0.3163878846437756</v>
      </c>
      <c r="F20" s="20"/>
      <c r="G20" s="20">
        <f>PV!X26</f>
        <v>32.371115287127559</v>
      </c>
    </row>
    <row r="21" spans="1:7">
      <c r="A21" s="138" t="s">
        <v>325</v>
      </c>
      <c r="B21" s="20">
        <f>PV!U27</f>
        <v>0.51250313381838575</v>
      </c>
      <c r="C21" s="20">
        <f>PV!V27</f>
        <v>4.0211890540571733E-3</v>
      </c>
      <c r="D21" s="20">
        <f>PV!W27</f>
        <v>6.7766907575141727E-2</v>
      </c>
      <c r="E21" s="20">
        <f>SUM(B21:D21)</f>
        <v>0.58429123044758458</v>
      </c>
      <c r="F21" s="20"/>
      <c r="G21" s="20">
        <f>PV!X27</f>
        <v>59.781552012878194</v>
      </c>
    </row>
    <row r="22" spans="1:7">
      <c r="A22" s="136"/>
      <c r="B22" s="20"/>
      <c r="C22" s="20"/>
      <c r="D22" s="20"/>
      <c r="E22" s="20"/>
      <c r="F22" s="20"/>
    </row>
    <row r="23" spans="1:7">
      <c r="A23" s="136" t="s">
        <v>302</v>
      </c>
      <c r="B23" s="20">
        <f>'CtE(CCS)'!G13</f>
        <v>3.1937846406119483</v>
      </c>
      <c r="C23" s="20">
        <f>'CtE(CCS)'!H13</f>
        <v>8.1243900391374402E-3</v>
      </c>
      <c r="D23" s="20">
        <f>'CtE(CCS)'!I13</f>
        <v>4.3916678192343073E-2</v>
      </c>
      <c r="E23" s="20">
        <f>SUM(B23:D23)</f>
        <v>3.2458257088434288</v>
      </c>
      <c r="F23" s="20"/>
      <c r="G23" s="51">
        <f>'CtE(CCS)'!M13</f>
        <v>294.32118455752214</v>
      </c>
    </row>
    <row r="24" spans="1:7">
      <c r="A24" s="136" t="s">
        <v>303</v>
      </c>
      <c r="B24" s="20">
        <f>'CtE(CCS)'!G32</f>
        <v>4.3697023713679073</v>
      </c>
      <c r="C24" s="20">
        <f>'CtE(CCS)'!H32</f>
        <v>1.2538981150309386E-2</v>
      </c>
      <c r="D24" s="20">
        <f>'CtE(CCS)'!I32</f>
        <v>6.0361094057349254E-2</v>
      </c>
      <c r="E24" s="20">
        <f>'CtE(CCS)'!J18</f>
        <v>62.122629534845444</v>
      </c>
      <c r="F24" s="20"/>
      <c r="G24" s="51">
        <f>'CtE(CCS)'!M32</f>
        <v>102.89448636282678</v>
      </c>
    </row>
    <row r="25" spans="1:7">
      <c r="A25" s="136"/>
      <c r="B25" s="20"/>
      <c r="C25" s="20"/>
      <c r="D25" s="20"/>
      <c r="E25" s="20"/>
      <c r="F25" s="20"/>
    </row>
    <row r="26" spans="1:7">
      <c r="A26" s="138" t="s">
        <v>300</v>
      </c>
      <c r="B26" s="20">
        <f>'CtE(CCS)'!G14</f>
        <v>2.5284128404844592</v>
      </c>
      <c r="C26" s="20">
        <f>'CtE(CCS)'!H14</f>
        <v>6.4318087809838069E-3</v>
      </c>
      <c r="D26" s="20">
        <f>'CtE(CCS)'!I14</f>
        <v>3.476737023560493E-2</v>
      </c>
      <c r="E26" s="20">
        <f>SUM(B26:D26)</f>
        <v>2.5696120195010477</v>
      </c>
      <c r="F26" s="20"/>
      <c r="G26" s="51">
        <f>'CtE(CCS)'!M14</f>
        <v>233.00427110803838</v>
      </c>
    </row>
    <row r="27" spans="1:7">
      <c r="A27" s="138" t="s">
        <v>301</v>
      </c>
      <c r="B27" s="20">
        <f>'CtE(CCS)'!G33</f>
        <v>3.2255463186977589</v>
      </c>
      <c r="C27" s="20">
        <f>'CtE(CCS)'!H33</f>
        <v>9.2557938853258699E-3</v>
      </c>
      <c r="D27" s="20">
        <f>'CtE(CCS)'!I33</f>
        <v>4.4556239345954179E-2</v>
      </c>
      <c r="E27" s="20">
        <f>SUM(B27:D27)</f>
        <v>3.279358351929039</v>
      </c>
      <c r="F27" s="20"/>
      <c r="G27" s="51">
        <f>'CtE(CCS)'!M33</f>
        <v>75.952754557518361</v>
      </c>
    </row>
    <row r="28" spans="1:7">
      <c r="A28" s="32" t="s">
        <v>107</v>
      </c>
      <c r="B28" s="20">
        <f>'CtE(CCS)'!G15</f>
        <v>2.8538521169824591</v>
      </c>
      <c r="C28" s="20">
        <f>'CtE(CCS)'!H15</f>
        <v>7.2596653567540007E-3</v>
      </c>
      <c r="D28" s="20">
        <f>'CtE(CCS)'!I15</f>
        <v>3.92423782857323E-2</v>
      </c>
      <c r="E28" s="20">
        <f>SUM(B28:D28)</f>
        <v>2.9003541606249454</v>
      </c>
      <c r="F28" s="20"/>
      <c r="G28" s="51">
        <f>'CtE(CCS)'!M15</f>
        <v>262.99491986451858</v>
      </c>
    </row>
    <row r="29" spans="1:7">
      <c r="A29" s="32" t="s">
        <v>111</v>
      </c>
      <c r="B29" s="20">
        <f>'CtE(CCS)'!G34</f>
        <v>3.5297202596381525</v>
      </c>
      <c r="C29" s="20">
        <f>'CtE(CCS)'!H34</f>
        <v>1.0077743889975115E-2</v>
      </c>
      <c r="D29" s="20">
        <f>'CtE(CCS)'!I34</f>
        <v>4.8748137428073608E-2</v>
      </c>
      <c r="E29" s="20">
        <f>SUM(B29:D29)</f>
        <v>3.5885461409562014</v>
      </c>
      <c r="F29" s="20"/>
      <c r="G29" s="51">
        <f>'CtE(CCS)'!M34</f>
        <v>93.83350727337006</v>
      </c>
    </row>
    <row r="30" spans="1:7">
      <c r="A30" s="32"/>
      <c r="B30" s="20"/>
      <c r="C30" s="20"/>
      <c r="D30" s="20"/>
      <c r="E30" s="20"/>
      <c r="F30" s="20"/>
    </row>
    <row r="31" spans="1:7">
      <c r="A31" s="32" t="s">
        <v>105</v>
      </c>
      <c r="B31" s="20">
        <f>'SNG(CCS)'!G13</f>
        <v>2.1113621639476858</v>
      </c>
      <c r="C31" s="20">
        <f>'SNG(CCS)'!H13</f>
        <v>5.3709099591954731E-3</v>
      </c>
      <c r="D31" s="20">
        <f>'SNG(CCS)'!I13</f>
        <v>2.9032644068265397E-2</v>
      </c>
      <c r="E31" s="20">
        <f>SUM(B31:D31)</f>
        <v>2.1457657179751468</v>
      </c>
      <c r="F31" s="20"/>
      <c r="G31" s="51">
        <f>'SNG(CCS)'!M13</f>
        <v>194.57123226816839</v>
      </c>
    </row>
    <row r="32" spans="1:7">
      <c r="A32" s="174" t="s">
        <v>130</v>
      </c>
      <c r="B32" s="176">
        <f>'SNG(CCS)'!G14</f>
        <v>2.1113621639476858</v>
      </c>
      <c r="C32" s="176">
        <f>'SNG(CCS)'!H14</f>
        <v>5.3709099591954731E-3</v>
      </c>
      <c r="D32" s="176">
        <f>'SNG(CCS)'!I14</f>
        <v>2.9032644068265397E-2</v>
      </c>
      <c r="E32" s="176">
        <f>SUM(B32:D32)</f>
        <v>2.1457657179751468</v>
      </c>
      <c r="F32" s="176"/>
      <c r="G32" s="178">
        <f>'SNG(CCS)'!M14</f>
        <v>194.57123226816839</v>
      </c>
    </row>
    <row r="33" spans="1:11">
      <c r="A33" s="32" t="s">
        <v>112</v>
      </c>
      <c r="B33" s="20">
        <f>'SNG(CCS)'!G30</f>
        <v>2.116003544093993</v>
      </c>
      <c r="C33" s="20">
        <f>'SNG(CCS)'!H30</f>
        <v>5.7317946775893146E-3</v>
      </c>
      <c r="D33" s="20">
        <f>'SNG(CCS)'!I30</f>
        <v>2.9163854620521037E-2</v>
      </c>
      <c r="E33" s="20">
        <f>SUM(B33:D33)</f>
        <v>2.1508991933921036</v>
      </c>
      <c r="F33" s="20"/>
      <c r="G33" s="51">
        <f>'SNG(CCS)'!M30</f>
        <v>123.64441791053027</v>
      </c>
    </row>
    <row r="34" spans="1:11">
      <c r="A34" s="174" t="s">
        <v>131</v>
      </c>
      <c r="B34" s="176">
        <f>'SNG(CCS)'!G22</f>
        <v>2.1113621639476858</v>
      </c>
      <c r="C34" s="176">
        <f>'SNG(CCS)'!H22</f>
        <v>5.3709099591954731E-3</v>
      </c>
      <c r="D34" s="176">
        <f>'SNG(CCS)'!I22</f>
        <v>2.9032644068265397E-2</v>
      </c>
      <c r="E34" s="176">
        <f>SUM(B34:D34)</f>
        <v>2.1457657179751468</v>
      </c>
      <c r="F34" s="175"/>
      <c r="G34" s="178">
        <f>'SNG(CCS)'!M22</f>
        <v>123.00648457569719</v>
      </c>
    </row>
    <row r="39" spans="1:11" ht="15" thickBot="1"/>
    <row r="40" spans="1:11">
      <c r="A40" s="146" t="s">
        <v>351</v>
      </c>
      <c r="B40" s="202" t="s">
        <v>353</v>
      </c>
      <c r="C40" s="203" t="s">
        <v>354</v>
      </c>
      <c r="K40" t="s">
        <v>180</v>
      </c>
    </row>
    <row r="41" spans="1:11">
      <c r="A41" s="147" t="s">
        <v>352</v>
      </c>
      <c r="B41" s="64">
        <f>'CtL(CCS)'!Q30</f>
        <v>3.2992909892258946E-3</v>
      </c>
      <c r="C41" s="65">
        <f>'CtL(CCS)'!P30</f>
        <v>6.6096496100026929E-3</v>
      </c>
    </row>
    <row r="42" spans="1:11">
      <c r="A42" s="39" t="str">
        <f>A24</f>
        <v>SC+CCS</v>
      </c>
      <c r="B42" s="64">
        <f>'CtE(CCS)'!N36</f>
        <v>0</v>
      </c>
      <c r="C42" s="65">
        <f>'CtE(CCS)'!M36</f>
        <v>0</v>
      </c>
    </row>
    <row r="43" spans="1:11">
      <c r="A43" s="39" t="str">
        <f>A27</f>
        <v>USC+CCS</v>
      </c>
      <c r="B43" s="64">
        <f>'CtE(CCS)'!N37</f>
        <v>0</v>
      </c>
      <c r="C43" s="65">
        <f>'CtE(CCS)'!M37</f>
        <v>0</v>
      </c>
    </row>
    <row r="44" spans="1:11">
      <c r="A44" s="39" t="str">
        <f>A29</f>
        <v>IGCC+CCS</v>
      </c>
      <c r="B44" s="64">
        <f>'CtE(CCS)'!N38</f>
        <v>0</v>
      </c>
      <c r="C44" s="65">
        <f>'CtE(CCS)'!M38</f>
        <v>0</v>
      </c>
    </row>
    <row r="45" spans="1:11" ht="15" thickBot="1">
      <c r="A45" s="41" t="str">
        <f>A33</f>
        <v>SNG+CCS</v>
      </c>
      <c r="B45" s="68">
        <f>'SNG(CCS)'!N33</f>
        <v>2.3866648110368654E-3</v>
      </c>
      <c r="C45" s="69">
        <f>'SNG(CCS)'!M33</f>
        <v>3.6655867081766993E-3</v>
      </c>
    </row>
  </sheetData>
  <phoneticPr fontId="2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9"/>
  <sheetViews>
    <sheetView view="pageBreakPreview" zoomScaleNormal="90" zoomScaleSheetLayoutView="100" workbookViewId="0">
      <selection activeCell="J33" sqref="J33"/>
    </sheetView>
  </sheetViews>
  <sheetFormatPr defaultRowHeight="14.4"/>
  <cols>
    <col min="1" max="1" width="11.88671875" customWidth="1"/>
    <col min="2" max="2" width="16.33203125" customWidth="1"/>
    <col min="3" max="3" width="19.44140625" customWidth="1"/>
    <col min="4" max="4" width="17.44140625" style="711" customWidth="1"/>
    <col min="5" max="5" width="11.6640625" style="711" bestFit="1" customWidth="1"/>
    <col min="6" max="6" width="8.88671875" customWidth="1"/>
    <col min="7" max="7" width="11.6640625" bestFit="1" customWidth="1"/>
    <col min="8" max="8" width="10.44140625" bestFit="1" customWidth="1"/>
    <col min="9" max="10" width="12.77734375" bestFit="1" customWidth="1"/>
    <col min="11" max="11" width="18.33203125" bestFit="1" customWidth="1"/>
  </cols>
  <sheetData>
    <row r="1" spans="1:11" ht="86.4">
      <c r="A1" s="621"/>
      <c r="B1" s="671" t="s">
        <v>949</v>
      </c>
      <c r="C1" s="621" t="s">
        <v>821</v>
      </c>
      <c r="D1" s="708" t="s">
        <v>820</v>
      </c>
      <c r="E1" s="708" t="s">
        <v>819</v>
      </c>
      <c r="F1" s="620" t="s">
        <v>818</v>
      </c>
      <c r="G1" s="620" t="s">
        <v>817</v>
      </c>
      <c r="H1" s="533" t="s">
        <v>1073</v>
      </c>
    </row>
    <row r="2" spans="1:11" ht="43.2">
      <c r="A2" s="621"/>
      <c r="B2" s="671" t="s">
        <v>950</v>
      </c>
      <c r="C2" s="671" t="s">
        <v>951</v>
      </c>
      <c r="D2" s="708"/>
      <c r="E2" s="708"/>
      <c r="F2" s="672" t="s">
        <v>952</v>
      </c>
      <c r="G2" s="713" t="s">
        <v>1071</v>
      </c>
      <c r="H2" s="533" t="s">
        <v>1072</v>
      </c>
      <c r="J2" s="748"/>
    </row>
    <row r="3" spans="1:11">
      <c r="A3" s="670" t="s">
        <v>930</v>
      </c>
      <c r="B3" s="613">
        <v>1</v>
      </c>
      <c r="C3" s="612">
        <f>1/B3</f>
        <v>1</v>
      </c>
      <c r="D3" s="709">
        <v>42.2</v>
      </c>
      <c r="E3" s="710">
        <v>0.74</v>
      </c>
      <c r="F3" s="610">
        <f>E3*G3</f>
        <v>5.92</v>
      </c>
      <c r="G3" s="618">
        <f>'Key Input'!E23</f>
        <v>8</v>
      </c>
      <c r="H3" s="464">
        <f>F3*'vehicle summary'!D3/100</f>
        <v>2.49824</v>
      </c>
      <c r="I3">
        <f>E3*D3</f>
        <v>31.228000000000002</v>
      </c>
    </row>
    <row r="4" spans="1:11">
      <c r="A4" s="670" t="s">
        <v>942</v>
      </c>
      <c r="B4" s="613">
        <v>1.1000000000000001</v>
      </c>
      <c r="C4" s="617">
        <f>'Key Input'!E24</f>
        <v>0.91</v>
      </c>
      <c r="D4" s="709">
        <v>42.7</v>
      </c>
      <c r="E4" s="710">
        <v>0.84</v>
      </c>
      <c r="F4" s="610">
        <f>F3*D3/D4*C4</f>
        <v>5.3241180327868856</v>
      </c>
      <c r="G4" s="610">
        <f>F4/E4</f>
        <v>6.3382357533177212</v>
      </c>
      <c r="H4" s="464">
        <f>H3*C4</f>
        <v>2.2733984</v>
      </c>
    </row>
    <row r="5" spans="1:11">
      <c r="A5" s="670" t="s">
        <v>931</v>
      </c>
      <c r="B5" s="613">
        <f>1/C5</f>
        <v>0.95238095238095233</v>
      </c>
      <c r="C5" s="612">
        <f>'Key Input'!E26</f>
        <v>1.05</v>
      </c>
      <c r="D5" s="709">
        <v>43</v>
      </c>
      <c r="E5" s="710"/>
      <c r="F5" s="610">
        <f>F3*D3/D5*C5</f>
        <v>6.1003534883720931</v>
      </c>
      <c r="G5" s="610"/>
      <c r="H5" s="464">
        <f>H3*C5</f>
        <v>2.6231520000000002</v>
      </c>
      <c r="J5">
        <f>2.4*8</f>
        <v>19.2</v>
      </c>
    </row>
    <row r="6" spans="1:11">
      <c r="A6" s="670" t="s">
        <v>932</v>
      </c>
      <c r="B6" s="613">
        <f>1/C6</f>
        <v>0.99689490940099423</v>
      </c>
      <c r="C6" s="612">
        <f>'Key Input'!K25/100</f>
        <v>1.0031147622178866</v>
      </c>
      <c r="D6" s="709">
        <v>43</v>
      </c>
      <c r="E6" s="710"/>
      <c r="F6" s="610">
        <f>F3*D3/D6*C6</f>
        <v>5.8279567989842169</v>
      </c>
      <c r="G6" s="610"/>
      <c r="H6" s="464">
        <f>H3*C6</f>
        <v>2.506021423563213</v>
      </c>
    </row>
    <row r="7" spans="1:11">
      <c r="A7" s="670" t="s">
        <v>936</v>
      </c>
      <c r="B7" s="613">
        <f>1/C7</f>
        <v>1</v>
      </c>
      <c r="C7" s="612">
        <f>'Key Input'!E28/100</f>
        <v>1</v>
      </c>
      <c r="D7" s="709">
        <v>27</v>
      </c>
      <c r="E7" s="710">
        <v>0.79</v>
      </c>
      <c r="F7" s="610">
        <f>F3*D3/D7*C7</f>
        <v>9.2527407407407409</v>
      </c>
      <c r="G7" s="610">
        <f>F7/E7</f>
        <v>11.712330051570557</v>
      </c>
      <c r="H7" s="464">
        <f>H3*C7</f>
        <v>2.49824</v>
      </c>
    </row>
    <row r="8" spans="1:11">
      <c r="A8" s="670" t="s">
        <v>944</v>
      </c>
      <c r="B8" s="613">
        <f>1/C8</f>
        <v>1.0989010989010988</v>
      </c>
      <c r="C8" s="612">
        <f>C4*'Key Input'!E29/100</f>
        <v>0.91</v>
      </c>
      <c r="D8" s="709">
        <f>D4</f>
        <v>42.7</v>
      </c>
      <c r="E8" s="710">
        <f>E4</f>
        <v>0.84</v>
      </c>
      <c r="F8" s="610">
        <f>F3*D3/D8*C8</f>
        <v>5.3241180327868856</v>
      </c>
      <c r="G8" s="610">
        <f>F8/E8</f>
        <v>6.3382357533177212</v>
      </c>
      <c r="H8" s="464">
        <f>H3*C8</f>
        <v>2.2733984</v>
      </c>
      <c r="J8" t="s">
        <v>1108</v>
      </c>
      <c r="K8">
        <v>16</v>
      </c>
    </row>
    <row r="9" spans="1:11">
      <c r="A9" s="670" t="s">
        <v>946</v>
      </c>
      <c r="B9" s="613">
        <f>'Key Input'!E27</f>
        <v>2.4649999999999999</v>
      </c>
      <c r="C9" s="612">
        <f>1/B9</f>
        <v>0.40567951318458423</v>
      </c>
      <c r="D9" s="709"/>
      <c r="E9" s="709"/>
      <c r="F9" s="610"/>
      <c r="G9" s="610">
        <f>F3*D3*C9/3.6</f>
        <v>28.152355194951546</v>
      </c>
      <c r="H9" s="464">
        <f>H3*C9</f>
        <v>1.0134847870182557</v>
      </c>
      <c r="J9" t="s">
        <v>1109</v>
      </c>
      <c r="K9" t="s">
        <v>1110</v>
      </c>
    </row>
    <row r="10" spans="1:11">
      <c r="D10"/>
      <c r="E10"/>
    </row>
    <row r="11" spans="1:11">
      <c r="D11"/>
      <c r="E11"/>
    </row>
    <row r="12" spans="1:11" ht="15" thickBot="1">
      <c r="A12" s="533" t="s">
        <v>1074</v>
      </c>
      <c r="D12"/>
      <c r="E12"/>
    </row>
    <row r="13" spans="1:11">
      <c r="B13" s="36"/>
      <c r="C13" s="37"/>
      <c r="D13" s="37"/>
      <c r="E13" s="37" t="str">
        <f>'fuel summary'!E102</f>
        <v>原油开采处理</v>
      </c>
      <c r="F13" s="37" t="str">
        <f>'fuel summary'!F102</f>
        <v>原油运输</v>
      </c>
      <c r="G13" s="37" t="str">
        <f>'fuel summary'!G102</f>
        <v>汽油炼制</v>
      </c>
      <c r="H13" s="37" t="str">
        <f>'fuel summary'!H102</f>
        <v>汽油输配</v>
      </c>
      <c r="I13" s="37" t="str">
        <f>'fuel summary'!I102</f>
        <v>汽油使用</v>
      </c>
      <c r="J13" s="38" t="str">
        <f>'fuel summary'!J102</f>
        <v>合计</v>
      </c>
    </row>
    <row r="14" spans="1:11">
      <c r="B14" s="39" t="str">
        <f>'fuel summary'!B103</f>
        <v>LCA-Coal</v>
      </c>
      <c r="C14" s="527" t="s">
        <v>678</v>
      </c>
      <c r="D14" s="536" t="s">
        <v>1075</v>
      </c>
      <c r="E14" s="415">
        <f>'fuel summary'!E103*'vehicle summary'!$H$3</f>
        <v>9.2380963244899639E-2</v>
      </c>
      <c r="F14" s="415">
        <f>'fuel summary'!F103*'vehicle summary'!$H$3</f>
        <v>1.9236056985489688E-2</v>
      </c>
      <c r="G14" s="415">
        <f>'fuel summary'!G103*'vehicle summary'!$H$3</f>
        <v>8.0360135737809549E-2</v>
      </c>
      <c r="H14" s="415">
        <f>'fuel summary'!H103*'vehicle summary'!$H$3</f>
        <v>5.7079783935296202E-3</v>
      </c>
      <c r="I14" s="415">
        <f>'fuel summary'!I103*'vehicle summary'!$H$3</f>
        <v>0</v>
      </c>
      <c r="J14" s="408">
        <f>'fuel summary'!J103*'vehicle summary'!$H$3</f>
        <v>0.19768513436172847</v>
      </c>
    </row>
    <row r="15" spans="1:11">
      <c r="B15" s="39" t="str">
        <f>'fuel summary'!B104</f>
        <v>LCA-NG</v>
      </c>
      <c r="C15" s="527" t="s">
        <v>679</v>
      </c>
      <c r="D15" s="536" t="s">
        <v>1076</v>
      </c>
      <c r="E15" s="415">
        <f>'fuel summary'!E104*'vehicle summary'!$H$3</f>
        <v>0.1100258444960341</v>
      </c>
      <c r="F15" s="415">
        <f>'fuel summary'!F104*'vehicle summary'!$H$3</f>
        <v>2.3977433060817718E-3</v>
      </c>
      <c r="G15" s="415">
        <f>'fuel summary'!G104*'vehicle summary'!$H$3</f>
        <v>2.4314557771618013E-2</v>
      </c>
      <c r="H15" s="415">
        <f>'fuel summary'!H104*'vehicle summary'!$H$3</f>
        <v>8.6796909534979469E-4</v>
      </c>
      <c r="I15" s="415">
        <f>'fuel summary'!I104*'vehicle summary'!$H$3</f>
        <v>0</v>
      </c>
      <c r="J15" s="408">
        <f>'fuel summary'!J104*'vehicle summary'!$H$3</f>
        <v>0.13760611466908368</v>
      </c>
    </row>
    <row r="16" spans="1:11">
      <c r="B16" s="39" t="str">
        <f>'fuel summary'!B105</f>
        <v>LCA-Oil</v>
      </c>
      <c r="C16" s="527" t="s">
        <v>680</v>
      </c>
      <c r="D16" s="536" t="s">
        <v>1076</v>
      </c>
      <c r="E16" s="415">
        <f>'fuel summary'!E105*'vehicle summary'!$H$3</f>
        <v>9.9005536181275444E-2</v>
      </c>
      <c r="F16" s="415">
        <f>'fuel summary'!F105*'vehicle summary'!$H$3</f>
        <v>2.5209555995758387E-2</v>
      </c>
      <c r="G16" s="415">
        <f>'fuel summary'!G105*'vehicle summary'!$H$3</f>
        <v>0.26146618039552749</v>
      </c>
      <c r="H16" s="415">
        <f>'fuel summary'!H105*'vehicle summary'!$H$3</f>
        <v>1.1707551141123346E-2</v>
      </c>
      <c r="I16" s="415">
        <f>'fuel summary'!I105*'vehicle summary'!$H$3</f>
        <v>2.49824</v>
      </c>
      <c r="J16" s="408">
        <f>'fuel summary'!J105*'vehicle summary'!$H$3</f>
        <v>2.8956288237136847</v>
      </c>
    </row>
    <row r="17" spans="1:10">
      <c r="B17" s="39" t="str">
        <f>'fuel summary'!B106</f>
        <v>LCA-PE</v>
      </c>
      <c r="C17" s="527" t="s">
        <v>681</v>
      </c>
      <c r="D17" s="536" t="s">
        <v>1076</v>
      </c>
      <c r="E17" s="415">
        <f>'fuel summary'!E106*'vehicle summary'!$H$3</f>
        <v>0.30141234392220922</v>
      </c>
      <c r="F17" s="415">
        <f>'fuel summary'!F106*'vehicle summary'!$H$3</f>
        <v>4.6843356287329843E-2</v>
      </c>
      <c r="G17" s="415">
        <f>'fuel summary'!G106*'vehicle summary'!$H$3</f>
        <v>0.36614087390495509</v>
      </c>
      <c r="H17" s="415">
        <f>'fuel summary'!H106*'vehicle summary'!$H$3</f>
        <v>1.828349863000276E-2</v>
      </c>
      <c r="I17" s="415">
        <f>'fuel summary'!I106*'vehicle summary'!$H$3</f>
        <v>2.49824</v>
      </c>
      <c r="J17" s="408">
        <f>'fuel summary'!J106*'vehicle summary'!$H$3</f>
        <v>3.2309200727444969</v>
      </c>
    </row>
    <row r="18" spans="1:10">
      <c r="B18" s="39"/>
      <c r="C18" s="481"/>
      <c r="D18" s="35"/>
      <c r="E18" s="415"/>
      <c r="F18" s="415"/>
      <c r="G18" s="415"/>
      <c r="H18" s="415"/>
      <c r="I18" s="415"/>
      <c r="J18" s="408"/>
    </row>
    <row r="19" spans="1:10">
      <c r="B19" s="39" t="str">
        <f>'fuel summary'!B108</f>
        <v>LCA-CO2</v>
      </c>
      <c r="C19" s="527" t="s">
        <v>682</v>
      </c>
      <c r="D19" s="536" t="s">
        <v>1077</v>
      </c>
      <c r="E19" s="380">
        <f>'fuel summary'!E108*'vehicle summary'!$H$3</f>
        <v>20.798077849558066</v>
      </c>
      <c r="F19" s="380">
        <f>'fuel summary'!F108*'vehicle summary'!$H$3</f>
        <v>3.6052023714677164</v>
      </c>
      <c r="G19" s="380">
        <f>'fuel summary'!G108*'vehicle summary'!$H$3</f>
        <v>26.748353554725654</v>
      </c>
      <c r="H19" s="380">
        <f>'fuel summary'!H108*'vehicle summary'!$H$3</f>
        <v>1.3941833208091794</v>
      </c>
      <c r="I19" s="380">
        <f>'fuel summary'!I108*'vehicle summary'!$H$3</f>
        <v>169.66547136</v>
      </c>
      <c r="J19" s="383">
        <f>'fuel summary'!J108*'vehicle summary'!$H$3</f>
        <v>222.21128845656062</v>
      </c>
    </row>
    <row r="20" spans="1:10">
      <c r="B20" s="39" t="str">
        <f>'fuel summary'!B109</f>
        <v>LCA-CH4</v>
      </c>
      <c r="C20" s="527" t="s">
        <v>683</v>
      </c>
      <c r="D20" s="536" t="s">
        <v>1078</v>
      </c>
      <c r="E20" s="380">
        <f>'fuel summary'!E109*'vehicle summary'!$H$3</f>
        <v>7.3523218364300397E-2</v>
      </c>
      <c r="F20" s="380">
        <f>'fuel summary'!F109*'vehicle summary'!$H$3</f>
        <v>8.2875755903571869E-3</v>
      </c>
      <c r="G20" s="380">
        <f>'fuel summary'!G109*'vehicle summary'!$H$3</f>
        <v>3.7495082840815548E-2</v>
      </c>
      <c r="H20" s="380">
        <f>'fuel summary'!H109*'vehicle summary'!$H$3</f>
        <v>2.5196143189008652E-3</v>
      </c>
      <c r="I20" s="380">
        <f>'fuel summary'!I109*'vehicle summary'!$H$3</f>
        <v>0.19985920000000001</v>
      </c>
      <c r="J20" s="383">
        <f>'fuel summary'!J109*'vehicle summary'!$H$3</f>
        <v>0.32168469111437398</v>
      </c>
    </row>
    <row r="21" spans="1:10">
      <c r="B21" s="39" t="str">
        <f>'fuel summary'!B110</f>
        <v>LCA-N2O</v>
      </c>
      <c r="C21" s="527" t="s">
        <v>684</v>
      </c>
      <c r="D21" s="536" t="s">
        <v>1079</v>
      </c>
      <c r="E21" s="380">
        <f>'fuel summary'!E110*'vehicle summary'!$H$3</f>
        <v>8.4086057717380855E-4</v>
      </c>
      <c r="F21" s="380">
        <f>'fuel summary'!F110*'vehicle summary'!$H$3</f>
        <v>5.8251443727439512E-5</v>
      </c>
      <c r="G21" s="380">
        <f>'fuel summary'!G110*'vehicle summary'!$H$3</f>
        <v>2.0801195779736486E-4</v>
      </c>
      <c r="H21" s="380">
        <f>'fuel summary'!H110*'vehicle summary'!$H$3</f>
        <v>4.7114145687667222E-5</v>
      </c>
      <c r="I21" s="380">
        <f>'fuel summary'!I110*'vehicle summary'!$H$3</f>
        <v>4.9964800000000002E-3</v>
      </c>
      <c r="J21" s="383">
        <f>'fuel summary'!J110*'vehicle summary'!$H$3</f>
        <v>6.1507181243862811E-3</v>
      </c>
    </row>
    <row r="22" spans="1:10" ht="15" thickBot="1">
      <c r="B22" s="41" t="str">
        <f>'fuel summary'!B111</f>
        <v>LCA-GHG</v>
      </c>
      <c r="C22" s="376" t="s">
        <v>685</v>
      </c>
      <c r="D22" s="703" t="s">
        <v>1077</v>
      </c>
      <c r="E22" s="714">
        <f>'fuel summary'!E111*'vehicle summary'!$H$3</f>
        <v>22.636408885117575</v>
      </c>
      <c r="F22" s="714">
        <f>'fuel summary'!F111*'vehicle summary'!$H$3</f>
        <v>3.8124091201568766</v>
      </c>
      <c r="G22" s="714">
        <f>'fuel summary'!G111*'vehicle summary'!$H$3</f>
        <v>27.68579261330947</v>
      </c>
      <c r="H22" s="714">
        <f>'fuel summary'!H111*'vehicle summary'!$H$3</f>
        <v>1.4571877187971158</v>
      </c>
      <c r="I22" s="714">
        <f>'fuel summary'!I111*'vehicle summary'!$H$3</f>
        <v>174.66344031104001</v>
      </c>
      <c r="J22" s="715">
        <f>'fuel summary'!J111*'vehicle summary'!$H$3</f>
        <v>230.25523864842106</v>
      </c>
    </row>
    <row r="23" spans="1:10" ht="15" thickBot="1">
      <c r="D23"/>
      <c r="E23"/>
    </row>
    <row r="24" spans="1:10">
      <c r="A24" s="533" t="s">
        <v>1080</v>
      </c>
      <c r="B24" s="36"/>
      <c r="C24" s="37"/>
      <c r="D24" s="37"/>
      <c r="E24" s="37" t="str">
        <f>'fuel summary'!E89</f>
        <v>原油开采处理</v>
      </c>
      <c r="F24" s="37" t="str">
        <f>'fuel summary'!F89</f>
        <v>原油运输</v>
      </c>
      <c r="G24" s="37" t="str">
        <f>'fuel summary'!G89</f>
        <v>柴油炼制</v>
      </c>
      <c r="H24" s="37" t="str">
        <f>'fuel summary'!H89</f>
        <v>柴油输配</v>
      </c>
      <c r="I24" s="37" t="str">
        <f>'fuel summary'!I89</f>
        <v>柴油使用</v>
      </c>
      <c r="J24" s="38" t="str">
        <f>'fuel summary'!J89</f>
        <v>合计</v>
      </c>
    </row>
    <row r="25" spans="1:10">
      <c r="B25" s="39" t="str">
        <f t="shared" ref="B25:D33" si="0">B14</f>
        <v>LCA-Coal</v>
      </c>
      <c r="C25" s="35" t="str">
        <f t="shared" si="0"/>
        <v>煤炭</v>
      </c>
      <c r="D25" s="35" t="str">
        <f t="shared" si="0"/>
        <v>MJ/km</v>
      </c>
      <c r="E25" s="415">
        <f>'fuel summary'!E90*'vehicle summary'!$H$4</f>
        <v>8.3504357646150579E-2</v>
      </c>
      <c r="F25" s="415">
        <f>'fuel summary'!F90*'vehicle summary'!$H$4</f>
        <v>1.7387722814275242E-2</v>
      </c>
      <c r="G25" s="415">
        <f>'fuel summary'!G90*'vehicle summary'!$H$4</f>
        <v>6.8640121206570898E-2</v>
      </c>
      <c r="H25" s="415">
        <f>'fuel summary'!H90*'vehicle summary'!$H$4</f>
        <v>5.1942603381119543E-3</v>
      </c>
      <c r="I25" s="415">
        <f>'fuel summary'!I90*'vehicle summary'!$H$4</f>
        <v>0</v>
      </c>
      <c r="J25" s="408">
        <f>'fuel summary'!J90*'vehicle summary'!$H$4</f>
        <v>0.17472646200510869</v>
      </c>
    </row>
    <row r="26" spans="1:10">
      <c r="B26" s="39" t="str">
        <f t="shared" si="0"/>
        <v>LCA-NG</v>
      </c>
      <c r="C26" s="35" t="str">
        <f t="shared" si="0"/>
        <v>天然气</v>
      </c>
      <c r="D26" s="35" t="str">
        <f t="shared" si="0"/>
        <v>MJ/km</v>
      </c>
      <c r="E26" s="415">
        <f>'fuel summary'!E91*'vehicle summary'!$H$4</f>
        <v>9.9453795959676045E-2</v>
      </c>
      <c r="F26" s="415">
        <f>'fuel summary'!F91*'vehicle summary'!$H$4</f>
        <v>2.1673514492800013E-3</v>
      </c>
      <c r="G26" s="415">
        <f>'fuel summary'!G91*'vehicle summary'!$H$4</f>
        <v>2.0768434214363647E-2</v>
      </c>
      <c r="H26" s="415">
        <f>'fuel summary'!H91*'vehicle summary'!$H$4</f>
        <v>7.8985187676831317E-4</v>
      </c>
      <c r="I26" s="415">
        <f>'fuel summary'!I91*'vehicle summary'!$H$4</f>
        <v>0</v>
      </c>
      <c r="J26" s="408">
        <f>'fuel summary'!J91*'vehicle summary'!$H$4</f>
        <v>0.12317943350008802</v>
      </c>
    </row>
    <row r="27" spans="1:10">
      <c r="B27" s="39" t="str">
        <f t="shared" si="0"/>
        <v>LCA-Oil</v>
      </c>
      <c r="C27" s="35" t="str">
        <f t="shared" si="0"/>
        <v>石油</v>
      </c>
      <c r="D27" s="35" t="str">
        <f t="shared" si="0"/>
        <v>MJ/km</v>
      </c>
      <c r="E27" s="415">
        <f>'fuel summary'!E92*'vehicle summary'!$H$4</f>
        <v>8.9492395530813715E-2</v>
      </c>
      <c r="F27" s="415">
        <f>'fuel summary'!F92*'vehicle summary'!$H$4</f>
        <v>2.2787246484861599E-2</v>
      </c>
      <c r="G27" s="415">
        <f>'fuel summary'!G92*'vehicle summary'!$H$4</f>
        <v>0.22333300148128071</v>
      </c>
      <c r="H27" s="415">
        <f>'fuel summary'!H92*'vehicle summary'!$H$4</f>
        <v>1.0653871538422245E-2</v>
      </c>
      <c r="I27" s="415">
        <f>'fuel summary'!I92*'vehicle summary'!$H$4</f>
        <v>2.2733984</v>
      </c>
      <c r="J27" s="408">
        <f>'fuel summary'!J92*'vehicle summary'!$H$4</f>
        <v>2.6196649150353783</v>
      </c>
    </row>
    <row r="28" spans="1:10">
      <c r="B28" s="39" t="str">
        <f t="shared" si="0"/>
        <v>LCA-PE</v>
      </c>
      <c r="C28" s="35" t="str">
        <f t="shared" si="0"/>
        <v>一次能源总计</v>
      </c>
      <c r="D28" s="35" t="str">
        <f t="shared" si="0"/>
        <v>MJ/km</v>
      </c>
      <c r="E28" s="415">
        <f>'fuel summary'!E93*'vehicle summary'!$H$4</f>
        <v>0.27245054913664035</v>
      </c>
      <c r="F28" s="415">
        <f>'fuel summary'!F93*'vehicle summary'!$H$4</f>
        <v>4.2342320748416845E-2</v>
      </c>
      <c r="G28" s="415">
        <f>'fuel summary'!G93*'vehicle summary'!$H$4</f>
        <v>0.31274155690221528</v>
      </c>
      <c r="H28" s="415">
        <f>'fuel summary'!H93*'vehicle summary'!$H$4</f>
        <v>1.6637983753302513E-2</v>
      </c>
      <c r="I28" s="415">
        <f>'fuel summary'!I93*'vehicle summary'!$H$4</f>
        <v>2.2733984</v>
      </c>
      <c r="J28" s="408">
        <f>'fuel summary'!J93*'vehicle summary'!$H$4</f>
        <v>2.9175708105405751</v>
      </c>
    </row>
    <row r="29" spans="1:10">
      <c r="B29" s="39"/>
      <c r="C29" s="35"/>
      <c r="D29" s="35"/>
      <c r="E29" s="415"/>
      <c r="F29" s="415"/>
      <c r="G29" s="415"/>
      <c r="H29" s="415"/>
      <c r="I29" s="415"/>
      <c r="J29" s="408"/>
    </row>
    <row r="30" spans="1:10">
      <c r="B30" s="39" t="str">
        <f t="shared" si="0"/>
        <v>LCA-CO2</v>
      </c>
      <c r="C30" s="35" t="str">
        <f t="shared" si="0"/>
        <v>二氧化碳</v>
      </c>
      <c r="D30" s="35" t="str">
        <f t="shared" si="0"/>
        <v>g/km</v>
      </c>
      <c r="E30" s="380">
        <f>'fuel summary'!E95*'vehicle summary'!$H$4</f>
        <v>18.799653847491832</v>
      </c>
      <c r="F30" s="380">
        <f>'fuel summary'!F95*'vehicle summary'!$H$4</f>
        <v>3.2587894479484261</v>
      </c>
      <c r="G30" s="380">
        <f>'fuel summary'!G95*'vehicle summary'!$H$4</f>
        <v>22.847276366766206</v>
      </c>
      <c r="H30" s="380">
        <f>'fuel summary'!H95*'vehicle summary'!$H$4</f>
        <v>1.2687068219363533</v>
      </c>
      <c r="I30" s="380">
        <f>'fuel summary'!I95*'vehicle summary'!$H$4</f>
        <v>165.01538066346666</v>
      </c>
      <c r="J30" s="383">
        <f>'fuel summary'!J95*'vehicle summary'!$H$4</f>
        <v>211.18980714760946</v>
      </c>
    </row>
    <row r="31" spans="1:10">
      <c r="B31" s="39" t="str">
        <f t="shared" si="0"/>
        <v>LCA-CH4</v>
      </c>
      <c r="C31" s="35" t="str">
        <f t="shared" si="0"/>
        <v>甲烷</v>
      </c>
      <c r="D31" s="35" t="str">
        <f t="shared" si="0"/>
        <v>g/km</v>
      </c>
      <c r="E31" s="380">
        <f>'fuel summary'!E96*'vehicle summary'!$H$4</f>
        <v>6.6458596077991525E-2</v>
      </c>
      <c r="F31" s="380">
        <f>'fuel summary'!F96*'vehicle summary'!$H$4</f>
        <v>7.4912476749359079E-3</v>
      </c>
      <c r="G31" s="380">
        <f>'fuel summary'!G96*'vehicle summary'!$H$4</f>
        <v>3.2026663559169201E-2</v>
      </c>
      <c r="H31" s="380">
        <f>'fuel summary'!H96*'vehicle summary'!$H$4</f>
        <v>2.2928490301997876E-3</v>
      </c>
      <c r="I31" s="380">
        <f>'fuel summary'!I96*'vehicle summary'!$H$4</f>
        <v>9.0935935999999998E-3</v>
      </c>
      <c r="J31" s="383">
        <f>'fuel summary'!J96*'vehicle summary'!$H$4</f>
        <v>0.11736294994229643</v>
      </c>
    </row>
    <row r="32" spans="1:10">
      <c r="B32" s="39" t="str">
        <f t="shared" si="0"/>
        <v>LCA-N2O</v>
      </c>
      <c r="C32" s="35" t="str">
        <f t="shared" si="0"/>
        <v>氧化二氮</v>
      </c>
      <c r="D32" s="35" t="str">
        <f t="shared" si="0"/>
        <v>mg/km</v>
      </c>
      <c r="E32" s="380">
        <f>'fuel summary'!E97*'vehicle summary'!$H$4</f>
        <v>7.6006484345406437E-4</v>
      </c>
      <c r="F32" s="380">
        <f>'fuel summary'!F97*'vehicle summary'!$H$4</f>
        <v>5.26542397866725E-5</v>
      </c>
      <c r="G32" s="380">
        <f>'fuel summary'!G97*'vehicle summary'!$H$4</f>
        <v>1.7767473716335987E-4</v>
      </c>
      <c r="H32" s="380">
        <f>'fuel summary'!H97*'vehicle summary'!$H$4</f>
        <v>4.2873872575777171E-5</v>
      </c>
      <c r="I32" s="380">
        <f>'fuel summary'!I97*'vehicle summary'!$H$4</f>
        <v>6.3655155200000008E-2</v>
      </c>
      <c r="J32" s="383">
        <f>'fuel summary'!J97*'vehicle summary'!$H$4</f>
        <v>6.468842289297988E-2</v>
      </c>
    </row>
    <row r="33" spans="1:14" ht="15" thickBot="1">
      <c r="B33" s="41" t="str">
        <f t="shared" si="0"/>
        <v>LCA-GHG</v>
      </c>
      <c r="C33" s="42" t="str">
        <f t="shared" si="0"/>
        <v>GHG合计</v>
      </c>
      <c r="D33" s="42" t="str">
        <f t="shared" si="0"/>
        <v>g/km</v>
      </c>
      <c r="E33" s="714">
        <f>'fuel summary'!E98*'vehicle summary'!$H$4</f>
        <v>20.461345248764971</v>
      </c>
      <c r="F33" s="714">
        <f>'fuel summary'!F98*'vehicle summary'!$H$4</f>
        <v>3.4460863307852803</v>
      </c>
      <c r="G33" s="714">
        <f>'fuel summary'!G98*'vehicle summary'!$H$4</f>
        <v>23.647995902817108</v>
      </c>
      <c r="H33" s="714">
        <f>'fuel summary'!H98*'vehicle summary'!$H$4</f>
        <v>1.3260408241053754</v>
      </c>
      <c r="I33" s="714">
        <f>'fuel summary'!I98*'vehicle summary'!$H$4</f>
        <v>165.26168973971622</v>
      </c>
      <c r="J33" s="715">
        <f>'fuel summary'!J98*'vehicle summary'!$H$4</f>
        <v>214.14315804618897</v>
      </c>
    </row>
    <row r="34" spans="1:14" ht="15" thickBot="1">
      <c r="D34"/>
      <c r="E34"/>
    </row>
    <row r="35" spans="1:14">
      <c r="A35" t="str">
        <f>A5</f>
        <v>CNG车</v>
      </c>
      <c r="B35" s="36"/>
      <c r="C35" s="37"/>
      <c r="D35" s="37"/>
      <c r="E35" s="37" t="str">
        <f>'fuel summary'!E22</f>
        <v>NG开采处理阶段</v>
      </c>
      <c r="F35" s="37" t="str">
        <f>'fuel summary'!F22</f>
        <v>NG运输阶段</v>
      </c>
      <c r="G35" s="37" t="str">
        <f>'fuel summary'!G22</f>
        <v>NG压缩阶段</v>
      </c>
      <c r="H35" s="37" t="str">
        <f>'fuel summary'!H22</f>
        <v>CNG运输</v>
      </c>
      <c r="I35" s="37" t="str">
        <f>'fuel summary'!I22</f>
        <v>使用阶段</v>
      </c>
      <c r="J35" s="38" t="str">
        <f>'fuel summary'!J22</f>
        <v>合计</v>
      </c>
    </row>
    <row r="36" spans="1:14">
      <c r="B36" s="39" t="str">
        <f t="shared" ref="B36:D36" si="1">B25</f>
        <v>LCA-Coal</v>
      </c>
      <c r="C36" s="35" t="str">
        <f t="shared" si="1"/>
        <v>煤炭</v>
      </c>
      <c r="D36" s="35" t="str">
        <f t="shared" si="1"/>
        <v>MJ/km</v>
      </c>
      <c r="E36" s="415">
        <f>'fuel summary'!E23*'vehicle summary'!$H$5/1000</f>
        <v>1.2909852072410733E-2</v>
      </c>
      <c r="F36" s="415">
        <f>'fuel summary'!F23*'vehicle summary'!$H$5/1000</f>
        <v>1.730236145012685E-3</v>
      </c>
      <c r="G36" s="415">
        <f>'fuel summary'!G23*'vehicle summary'!$H$5/1000</f>
        <v>0.19582522506805214</v>
      </c>
      <c r="H36" s="415">
        <f>'fuel summary'!H23*'vehicle summary'!$H$5/1000</f>
        <v>0</v>
      </c>
      <c r="I36" s="415">
        <f>'fuel summary'!I23*'vehicle summary'!$H$5/1000</f>
        <v>0</v>
      </c>
      <c r="J36" s="408">
        <f>'fuel summary'!J23*'vehicle summary'!$H$5/1000</f>
        <v>0.21046531328547555</v>
      </c>
    </row>
    <row r="37" spans="1:14">
      <c r="B37" s="39" t="str">
        <f t="shared" ref="B37:D37" si="2">B26</f>
        <v>LCA-NG</v>
      </c>
      <c r="C37" s="35" t="str">
        <f t="shared" si="2"/>
        <v>天然气</v>
      </c>
      <c r="D37" s="35" t="str">
        <f t="shared" si="2"/>
        <v>MJ/km</v>
      </c>
      <c r="E37" s="415">
        <f>'fuel summary'!E24*'vehicle summary'!$H$5/1000</f>
        <v>0.30047229704096173</v>
      </c>
      <c r="F37" s="415">
        <f>'fuel summary'!F24*'vehicle summary'!$H$5/1000</f>
        <v>5.9648034905483019E-3</v>
      </c>
      <c r="G37" s="415">
        <f>'fuel summary'!G24*'vehicle summary'!$H$5/1000</f>
        <v>1.7995002247801643E-2</v>
      </c>
      <c r="H37" s="415">
        <f>'fuel summary'!H24*'vehicle summary'!$H$5/1000</f>
        <v>0</v>
      </c>
      <c r="I37" s="415">
        <f>'fuel summary'!I24*'vehicle summary'!$H$5/1000</f>
        <v>2.6231520000000002</v>
      </c>
      <c r="J37" s="408">
        <f>'fuel summary'!J24*'vehicle summary'!$H$5/1000</f>
        <v>2.9475841027793117</v>
      </c>
    </row>
    <row r="38" spans="1:14">
      <c r="B38" s="39" t="str">
        <f t="shared" ref="B38:D38" si="3">B27</f>
        <v>LCA-Oil</v>
      </c>
      <c r="C38" s="35" t="str">
        <f t="shared" si="3"/>
        <v>石油</v>
      </c>
      <c r="D38" s="35" t="str">
        <f t="shared" si="3"/>
        <v>MJ/km</v>
      </c>
      <c r="E38" s="415">
        <f>'fuel summary'!E25*'vehicle summary'!$H$5/1000</f>
        <v>1.3806844887439482E-2</v>
      </c>
      <c r="F38" s="415">
        <f>'fuel summary'!F25*'vehicle summary'!$H$5/1000</f>
        <v>3.1060975391844188E-4</v>
      </c>
      <c r="G38" s="415">
        <f>'fuel summary'!G25*'vehicle summary'!$H$5/1000</f>
        <v>5.6602081267723686E-3</v>
      </c>
      <c r="H38" s="415">
        <f>'fuel summary'!H25*'vehicle summary'!$H$5/1000</f>
        <v>0</v>
      </c>
      <c r="I38" s="415">
        <f>'fuel summary'!I25*'vehicle summary'!$H$5/1000</f>
        <v>0</v>
      </c>
      <c r="J38" s="408">
        <f>'fuel summary'!J25*'vehicle summary'!$H$5/1000</f>
        <v>1.977766276813029E-2</v>
      </c>
    </row>
    <row r="39" spans="1:14">
      <c r="B39" s="39" t="str">
        <f t="shared" ref="B39:D39" si="4">B28</f>
        <v>LCA-PE</v>
      </c>
      <c r="C39" s="35" t="str">
        <f t="shared" si="4"/>
        <v>一次能源总计</v>
      </c>
      <c r="D39" s="35" t="str">
        <f t="shared" si="4"/>
        <v>MJ/km</v>
      </c>
      <c r="E39" s="415">
        <f>'fuel summary'!E26*'vehicle summary'!$H$5/1000</f>
        <v>0.32718899400081192</v>
      </c>
      <c r="F39" s="415">
        <f>'fuel summary'!F26*'vehicle summary'!$H$5/1000</f>
        <v>8.0056493894794297E-3</v>
      </c>
      <c r="G39" s="415">
        <f>'fuel summary'!G26*'vehicle summary'!$H$5/1000</f>
        <v>0.21948043544262619</v>
      </c>
      <c r="H39" s="415">
        <f>'fuel summary'!H26*'vehicle summary'!$H$5/1000</f>
        <v>0</v>
      </c>
      <c r="I39" s="415">
        <f>'fuel summary'!I26*'vehicle summary'!$H$5/1000</f>
        <v>2.6231520000000002</v>
      </c>
      <c r="J39" s="408">
        <f>'fuel summary'!J26*'vehicle summary'!$H$5/1000</f>
        <v>3.1778270788329177</v>
      </c>
    </row>
    <row r="40" spans="1:14">
      <c r="B40" s="39"/>
      <c r="C40" s="35"/>
      <c r="D40" s="35"/>
      <c r="E40" s="415"/>
      <c r="F40" s="415"/>
      <c r="G40" s="415"/>
      <c r="H40" s="415"/>
      <c r="I40" s="415"/>
      <c r="J40" s="408"/>
    </row>
    <row r="41" spans="1:14">
      <c r="B41" s="39" t="str">
        <f t="shared" ref="B41:D41" si="5">B30</f>
        <v>LCA-CO2</v>
      </c>
      <c r="C41" s="35" t="str">
        <f t="shared" si="5"/>
        <v>二氧化碳</v>
      </c>
      <c r="D41" s="35" t="str">
        <f t="shared" si="5"/>
        <v>g/km</v>
      </c>
      <c r="E41" s="415">
        <f>'fuel summary'!E28*'vehicle summary'!$H$5/1000</f>
        <v>19.152359915939215</v>
      </c>
      <c r="F41" s="415">
        <f>'fuel summary'!F28*'vehicle summary'!$H$5/1000</f>
        <v>0.50323447355896544</v>
      </c>
      <c r="G41" s="415">
        <f>'fuel summary'!G28*'vehicle summary'!$H$5/1000</f>
        <v>17.428226782742989</v>
      </c>
      <c r="H41" s="415">
        <f>'fuel summary'!H28*'vehicle summary'!$H$5/1000</f>
        <v>0</v>
      </c>
      <c r="I41" s="415">
        <f>'fuel summary'!I28*'vehicle summary'!$H$5/1000</f>
        <v>148.00109507567998</v>
      </c>
      <c r="J41" s="408">
        <f>'fuel summary'!J28*'vehicle summary'!$H$5/1000</f>
        <v>185.08491624792111</v>
      </c>
    </row>
    <row r="42" spans="1:14">
      <c r="B42" s="39" t="str">
        <f t="shared" ref="B42:D42" si="6">B31</f>
        <v>LCA-CH4</v>
      </c>
      <c r="C42" s="35" t="str">
        <f t="shared" si="6"/>
        <v>甲烷</v>
      </c>
      <c r="D42" s="35" t="str">
        <f t="shared" si="6"/>
        <v>g/km</v>
      </c>
      <c r="E42" s="415">
        <f>'fuel summary'!E29*'vehicle summary'!$H$5/1000</f>
        <v>0.21624112239587875</v>
      </c>
      <c r="F42" s="415">
        <f>'fuel summary'!F29*'vehicle summary'!$H$5/1000</f>
        <v>1.1438502397356247E-3</v>
      </c>
      <c r="G42" s="415">
        <f>'fuel summary'!G29*'vehicle summary'!$H$5/1000</f>
        <v>8.109616418941866E-2</v>
      </c>
      <c r="H42" s="415">
        <f>'fuel summary'!H29*'vehicle summary'!$H$5/1000</f>
        <v>0</v>
      </c>
      <c r="I42" s="415">
        <f>'fuel summary'!I29*'vehicle summary'!$H$5/1000</f>
        <v>0</v>
      </c>
      <c r="J42" s="408">
        <f>'fuel summary'!J29*'vehicle summary'!$H$5/1000</f>
        <v>0.29848113682503302</v>
      </c>
    </row>
    <row r="43" spans="1:14">
      <c r="B43" s="39" t="str">
        <f t="shared" ref="B43:D43" si="7">B32</f>
        <v>LCA-N2O</v>
      </c>
      <c r="C43" s="35" t="str">
        <f t="shared" si="7"/>
        <v>氧化二氮</v>
      </c>
      <c r="D43" s="35" t="str">
        <f t="shared" si="7"/>
        <v>mg/km</v>
      </c>
      <c r="E43" s="415">
        <f>'fuel summary'!E30*'vehicle summary'!$H$5/1000</f>
        <v>4.0242142030004447E-7</v>
      </c>
      <c r="F43" s="415">
        <f>'fuel summary'!F30*'vehicle summary'!$H$5/1000</f>
        <v>9.8870395494041748E-9</v>
      </c>
      <c r="G43" s="415">
        <f>'fuel summary'!G30*'vehicle summary'!$H$5/1000</f>
        <v>2.753202589525482E-7</v>
      </c>
      <c r="H43" s="415">
        <f>'fuel summary'!H30*'vehicle summary'!$H$5/1000</f>
        <v>0</v>
      </c>
      <c r="I43" s="415">
        <f>'fuel summary'!I30*'vehicle summary'!$H$5/1000</f>
        <v>0</v>
      </c>
      <c r="J43" s="408">
        <f>'fuel summary'!J30*'vehicle summary'!$H$5/1000</f>
        <v>6.8762871880199693E-7</v>
      </c>
    </row>
    <row r="44" spans="1:14" ht="15" thickBot="1">
      <c r="B44" s="41" t="str">
        <f t="shared" ref="B44:D44" si="8">B33</f>
        <v>LCA-GHG</v>
      </c>
      <c r="C44" s="42" t="str">
        <f t="shared" si="8"/>
        <v>GHG合计</v>
      </c>
      <c r="D44" s="42" t="str">
        <f t="shared" si="8"/>
        <v>g/km</v>
      </c>
      <c r="E44" s="706">
        <f>'fuel summary'!E31*'vehicle summary'!$H$5</f>
        <v>24.558388095757763</v>
      </c>
      <c r="F44" s="706">
        <f>'fuel summary'!F31*'vehicle summary'!$H$5</f>
        <v>0.53183073249869395</v>
      </c>
      <c r="G44" s="706">
        <f>'fuel summary'!G31*'vehicle summary'!$H$5</f>
        <v>19.455630969523892</v>
      </c>
      <c r="H44" s="706">
        <f>'fuel summary'!H31*'vehicle summary'!$H$5</f>
        <v>0</v>
      </c>
      <c r="I44" s="706">
        <f>'fuel summary'!I31*'vehicle summary'!$H$5</f>
        <v>148.00109507567998</v>
      </c>
      <c r="J44" s="413">
        <f>'fuel summary'!J31*'vehicle summary'!$H$5</f>
        <v>192.54694487346035</v>
      </c>
    </row>
    <row r="45" spans="1:14" ht="15" thickBot="1">
      <c r="D45"/>
      <c r="E45"/>
      <c r="L45" s="44" t="s">
        <v>1095</v>
      </c>
    </row>
    <row r="46" spans="1:14">
      <c r="A46" s="533" t="s">
        <v>1081</v>
      </c>
      <c r="B46" s="36"/>
      <c r="C46" s="37"/>
      <c r="D46" s="37"/>
      <c r="E46" s="37" t="str">
        <f>'fuel summary'!E35</f>
        <v>NG开采处理阶段</v>
      </c>
      <c r="F46" s="37" t="str">
        <f>'fuel summary'!F35</f>
        <v>NG液化阶段</v>
      </c>
      <c r="G46" s="37" t="str">
        <f>'fuel summary'!G35</f>
        <v>LNG运输阶段</v>
      </c>
      <c r="H46" s="37" t="str">
        <f>'fuel summary'!H35</f>
        <v>LNG输配阶段</v>
      </c>
      <c r="I46" s="37" t="str">
        <f>'fuel summary'!I35</f>
        <v>使用阶段</v>
      </c>
      <c r="J46" s="38" t="str">
        <f>'fuel summary'!J35</f>
        <v>合计</v>
      </c>
      <c r="L46" s="36" t="str">
        <f>H46</f>
        <v>LNG输配阶段</v>
      </c>
      <c r="M46" s="37" t="str">
        <f t="shared" ref="M46:N55" si="9">I46</f>
        <v>使用阶段</v>
      </c>
      <c r="N46" s="38" t="str">
        <f t="shared" si="9"/>
        <v>合计</v>
      </c>
    </row>
    <row r="47" spans="1:14">
      <c r="A47" t="str">
        <f>'fuel summary'!C34</f>
        <v>进口LNG</v>
      </c>
      <c r="B47" s="39" t="str">
        <f t="shared" ref="B47:D47" si="10">B36</f>
        <v>LCA-Coal</v>
      </c>
      <c r="C47" s="35" t="str">
        <f t="shared" si="10"/>
        <v>煤炭</v>
      </c>
      <c r="D47" s="35" t="str">
        <f t="shared" si="10"/>
        <v>MJ/km</v>
      </c>
      <c r="E47" s="415">
        <f>'fuel summary'!E36*'vehicle summary'!$H$6/1000</f>
        <v>1.2321060122564283E-2</v>
      </c>
      <c r="F47" s="415">
        <f>'fuel summary'!F36*'vehicle summary'!$H$6/1000</f>
        <v>2.5238474834202836E-2</v>
      </c>
      <c r="G47" s="415">
        <f>'fuel summary'!G36*'vehicle summary'!$H$6/1000</f>
        <v>3.0239920178280824E-3</v>
      </c>
      <c r="H47" s="415">
        <f>'fuel summary'!H36*'vehicle summary'!$H$6/1000</f>
        <v>9.4942596106372377E-4</v>
      </c>
      <c r="I47" s="415">
        <f>'fuel summary'!I36*'vehicle summary'!$H$6/1000</f>
        <v>0</v>
      </c>
      <c r="J47" s="408">
        <f>'fuel summary'!J36*'vehicle summary'!$H$6/1000</f>
        <v>4.1532952935658916E-2</v>
      </c>
      <c r="L47" s="718">
        <f t="shared" ref="L47:L55" si="11">H47</f>
        <v>9.4942596106372377E-4</v>
      </c>
      <c r="M47" s="415">
        <f t="shared" si="9"/>
        <v>0</v>
      </c>
      <c r="N47" s="408">
        <f>L47+M47</f>
        <v>9.4942596106372377E-4</v>
      </c>
    </row>
    <row r="48" spans="1:14">
      <c r="B48" s="39" t="str">
        <f t="shared" ref="B48:D48" si="12">B37</f>
        <v>LCA-NG</v>
      </c>
      <c r="C48" s="35" t="str">
        <f t="shared" si="12"/>
        <v>天然气</v>
      </c>
      <c r="D48" s="35" t="str">
        <f t="shared" si="12"/>
        <v>MJ/km</v>
      </c>
      <c r="E48" s="415">
        <f>'fuel summary'!E37*'vehicle summary'!$H$6/1000</f>
        <v>0.2867683700976259</v>
      </c>
      <c r="F48" s="415">
        <f>'fuel summary'!F37*'vehicle summary'!$H$6/1000</f>
        <v>0.28332918650977384</v>
      </c>
      <c r="G48" s="415">
        <f>'fuel summary'!G37*'vehicle summary'!$H$6/1000</f>
        <v>2.3573374191004737E-3</v>
      </c>
      <c r="H48" s="415">
        <f>'fuel summary'!H37*'vehicle summary'!$H$6/1000</f>
        <v>6.5118447970512617E-4</v>
      </c>
      <c r="I48" s="415">
        <f>'fuel summary'!I37*'vehicle summary'!$H$6/1000</f>
        <v>2.506021423563213</v>
      </c>
      <c r="J48" s="408">
        <f>'fuel summary'!J37*'vehicle summary'!$H$6/1000</f>
        <v>3.0791275020694182</v>
      </c>
      <c r="L48" s="718">
        <f t="shared" si="11"/>
        <v>6.5118447970512617E-4</v>
      </c>
      <c r="M48" s="415">
        <f t="shared" si="9"/>
        <v>2.506021423563213</v>
      </c>
      <c r="N48" s="408">
        <f t="shared" ref="N48:N55" si="13">L48+M48</f>
        <v>2.5066726080429182</v>
      </c>
    </row>
    <row r="49" spans="1:14">
      <c r="B49" s="39" t="str">
        <f t="shared" ref="B49:D49" si="14">B38</f>
        <v>LCA-Oil</v>
      </c>
      <c r="C49" s="35" t="str">
        <f t="shared" si="14"/>
        <v>石油</v>
      </c>
      <c r="D49" s="35" t="str">
        <f t="shared" si="14"/>
        <v>MJ/km</v>
      </c>
      <c r="E49" s="415">
        <f>'fuel summary'!E38*'vehicle summary'!$H$6/1000</f>
        <v>1.3177142929825575E-2</v>
      </c>
      <c r="F49" s="415">
        <f>'fuel summary'!F38*'vehicle summary'!$H$6/1000</f>
        <v>1.3342861882704237E-2</v>
      </c>
      <c r="G49" s="415">
        <f>'fuel summary'!G38*'vehicle summary'!$H$6/1000</f>
        <v>5.8239271281818036E-2</v>
      </c>
      <c r="H49" s="415">
        <f>'fuel summary'!H38*'vehicle summary'!$H$6/1000</f>
        <v>1.5068026669576601E-2</v>
      </c>
      <c r="I49" s="415">
        <f>'fuel summary'!I38*'vehicle summary'!$H$6/1000</f>
        <v>0</v>
      </c>
      <c r="J49" s="408">
        <f>'fuel summary'!J38*'vehicle summary'!$H$6/1000</f>
        <v>9.9827302763924444E-2</v>
      </c>
      <c r="L49" s="718">
        <f t="shared" si="11"/>
        <v>1.5068026669576601E-2</v>
      </c>
      <c r="M49" s="415">
        <f t="shared" si="9"/>
        <v>0</v>
      </c>
      <c r="N49" s="408">
        <f t="shared" si="13"/>
        <v>1.5068026669576601E-2</v>
      </c>
    </row>
    <row r="50" spans="1:14">
      <c r="B50" s="39" t="str">
        <f t="shared" ref="B50:D50" si="15">B39</f>
        <v>LCA-PE</v>
      </c>
      <c r="C50" s="35" t="str">
        <f t="shared" si="15"/>
        <v>一次能源总计</v>
      </c>
      <c r="D50" s="35" t="str">
        <f t="shared" si="15"/>
        <v>MJ/km</v>
      </c>
      <c r="E50" s="415">
        <f>'fuel summary'!E39*'vehicle summary'!$H$6/1000</f>
        <v>0.31226657315001577</v>
      </c>
      <c r="F50" s="415">
        <f>'fuel summary'!F39*'vehicle summary'!$H$6/1000</f>
        <v>0.3219105232266809</v>
      </c>
      <c r="G50" s="415">
        <f>'fuel summary'!G39*'vehicle summary'!$H$6/1000</f>
        <v>6.3620600718746589E-2</v>
      </c>
      <c r="H50" s="415">
        <f>'fuel summary'!H39*'vehicle summary'!$H$6/1000</f>
        <v>1.6668637110345452E-2</v>
      </c>
      <c r="I50" s="415">
        <f>'fuel summary'!I39*'vehicle summary'!$H$6/1000</f>
        <v>2.506021423563213</v>
      </c>
      <c r="J50" s="408">
        <f>'fuel summary'!J39*'vehicle summary'!$H$6/1000</f>
        <v>3.2204877577690016</v>
      </c>
      <c r="L50" s="718">
        <f t="shared" si="11"/>
        <v>1.6668637110345452E-2</v>
      </c>
      <c r="M50" s="415">
        <f t="shared" si="9"/>
        <v>2.506021423563213</v>
      </c>
      <c r="N50" s="408">
        <f t="shared" si="13"/>
        <v>2.5226900606735585</v>
      </c>
    </row>
    <row r="51" spans="1:14">
      <c r="B51" s="39"/>
      <c r="C51" s="35"/>
      <c r="D51" s="35"/>
      <c r="E51" s="415"/>
      <c r="F51" s="415"/>
      <c r="G51" s="415"/>
      <c r="H51" s="415"/>
      <c r="I51" s="415"/>
      <c r="J51" s="408"/>
      <c r="L51" s="718"/>
      <c r="M51" s="415"/>
      <c r="N51" s="408"/>
    </row>
    <row r="52" spans="1:14">
      <c r="B52" s="39" t="str">
        <f t="shared" ref="B52:D52" si="16">B41</f>
        <v>LCA-CO2</v>
      </c>
      <c r="C52" s="35" t="str">
        <f t="shared" si="16"/>
        <v>二氧化碳</v>
      </c>
      <c r="D52" s="35" t="str">
        <f t="shared" si="16"/>
        <v>g/km</v>
      </c>
      <c r="E52" s="415">
        <f>'fuel summary'!E41*'vehicle summary'!$H$6/1000</f>
        <v>18.278859950500717</v>
      </c>
      <c r="F52" s="415">
        <f>'fuel summary'!F41*'vehicle summary'!$H$6/1000</f>
        <v>19.150208368035337</v>
      </c>
      <c r="G52" s="415">
        <f>'fuel summary'!G41*'vehicle summary'!$H$6/1000</f>
        <v>4.775607560584274</v>
      </c>
      <c r="H52" s="415">
        <f>'fuel summary'!H41*'vehicle summary'!$H$6/1000</f>
        <v>1.2070005788692726</v>
      </c>
      <c r="I52" s="415">
        <f>'fuel summary'!I41*'vehicle summary'!$H$6/1000</f>
        <v>141.39246028078813</v>
      </c>
      <c r="J52" s="408">
        <f>'fuel summary'!J41*'vehicle summary'!$H$6/1000</f>
        <v>184.80413673877774</v>
      </c>
      <c r="L52" s="718">
        <f t="shared" si="11"/>
        <v>1.2070005788692726</v>
      </c>
      <c r="M52" s="415">
        <f t="shared" si="9"/>
        <v>141.39246028078813</v>
      </c>
      <c r="N52" s="408">
        <f t="shared" si="13"/>
        <v>142.5994608596574</v>
      </c>
    </row>
    <row r="53" spans="1:14">
      <c r="B53" s="39" t="str">
        <f t="shared" ref="B53:D53" si="17">B42</f>
        <v>LCA-CH4</v>
      </c>
      <c r="C53" s="35" t="str">
        <f t="shared" si="17"/>
        <v>甲烷</v>
      </c>
      <c r="D53" s="35" t="str">
        <f t="shared" si="17"/>
        <v>g/km</v>
      </c>
      <c r="E53" s="415">
        <f>'fuel summary'!E42*'vehicle summary'!$H$6/1000</f>
        <v>0.20655924060135078</v>
      </c>
      <c r="F53" s="415">
        <f>'fuel summary'!F42*'vehicle summary'!$H$6/1000</f>
        <v>3.1134629811878142E-2</v>
      </c>
      <c r="G53" s="415">
        <f>'fuel summary'!G42*'vehicle summary'!$H$6/1000</f>
        <v>2.0496185074995506E-3</v>
      </c>
      <c r="H53" s="415">
        <f>'fuel summary'!H42*'vehicle summary'!$H$6/1000</f>
        <v>0</v>
      </c>
      <c r="I53" s="415">
        <f>'fuel summary'!I42*'vehicle summary'!$H$6/1000</f>
        <v>0</v>
      </c>
      <c r="J53" s="408">
        <f>'fuel summary'!J42*'vehicle summary'!$H$6/1000</f>
        <v>0.23974348892072847</v>
      </c>
      <c r="L53" s="718">
        <f t="shared" si="11"/>
        <v>0</v>
      </c>
      <c r="M53" s="415">
        <f t="shared" si="9"/>
        <v>0</v>
      </c>
      <c r="N53" s="408">
        <f t="shared" si="13"/>
        <v>0</v>
      </c>
    </row>
    <row r="54" spans="1:14">
      <c r="B54" s="39" t="str">
        <f t="shared" ref="B54:D54" si="18">B43</f>
        <v>LCA-N2O</v>
      </c>
      <c r="C54" s="35" t="str">
        <f t="shared" si="18"/>
        <v>氧化二氮</v>
      </c>
      <c r="D54" s="35" t="str">
        <f t="shared" si="18"/>
        <v>mg/km</v>
      </c>
      <c r="E54" s="415">
        <f>'fuel summary'!E43*'vehicle summary'!$H$6/1000</f>
        <v>3.8406780235078815E-7</v>
      </c>
      <c r="F54" s="415">
        <f>'fuel summary'!F43*'vehicle summary'!$H$6/1000</f>
        <v>3.9628916996521677E-7</v>
      </c>
      <c r="G54" s="415">
        <f>'fuel summary'!G43*'vehicle summary'!$H$6/1000</f>
        <v>0</v>
      </c>
      <c r="H54" s="415">
        <f>'fuel summary'!H43*'vehicle summary'!$H$6/1000</f>
        <v>0</v>
      </c>
      <c r="I54" s="415">
        <f>'fuel summary'!I43*'vehicle summary'!$H$6/1000</f>
        <v>0</v>
      </c>
      <c r="J54" s="408">
        <f>'fuel summary'!J43*'vehicle summary'!$H$6/1000</f>
        <v>7.8035697231600497E-7</v>
      </c>
      <c r="L54" s="718">
        <f t="shared" si="11"/>
        <v>0</v>
      </c>
      <c r="M54" s="415">
        <f t="shared" si="9"/>
        <v>0</v>
      </c>
      <c r="N54" s="408">
        <f t="shared" si="13"/>
        <v>0</v>
      </c>
    </row>
    <row r="55" spans="1:14" ht="15" thickBot="1">
      <c r="B55" s="41" t="str">
        <f t="shared" ref="B55:D55" si="19">B44</f>
        <v>LCA-GHG</v>
      </c>
      <c r="C55" s="42" t="str">
        <f t="shared" si="19"/>
        <v>GHG合计</v>
      </c>
      <c r="D55" s="42" t="str">
        <f t="shared" si="19"/>
        <v>g/km</v>
      </c>
      <c r="E55" s="706">
        <f>'fuel summary'!E44*'vehicle summary'!$H$6</f>
        <v>23.442841079986692</v>
      </c>
      <c r="F55" s="706">
        <f>'fuel summary'!F44*'vehicle summary'!$H$6</f>
        <v>19.92857423142646</v>
      </c>
      <c r="G55" s="706">
        <f>'fuel summary'!G44*'vehicle summary'!$H$6</f>
        <v>4.8268480232717632</v>
      </c>
      <c r="H55" s="706">
        <f>'fuel summary'!H44*'vehicle summary'!$H$6</f>
        <v>1.2070005788692726</v>
      </c>
      <c r="I55" s="706">
        <f>'fuel summary'!I44*'vehicle summary'!$H$6</f>
        <v>141.39246028078813</v>
      </c>
      <c r="J55" s="413">
        <f>'fuel summary'!J44*'vehicle summary'!$H$6</f>
        <v>190.79772419434232</v>
      </c>
      <c r="L55" s="719">
        <f t="shared" si="11"/>
        <v>1.2070005788692726</v>
      </c>
      <c r="M55" s="706">
        <f t="shared" si="9"/>
        <v>141.39246028078813</v>
      </c>
      <c r="N55" s="413">
        <f t="shared" si="13"/>
        <v>142.5994608596574</v>
      </c>
    </row>
    <row r="56" spans="1:14" ht="15" thickBot="1">
      <c r="D56"/>
      <c r="E56"/>
    </row>
    <row r="57" spans="1:14">
      <c r="A57" s="533" t="s">
        <v>1081</v>
      </c>
      <c r="B57" s="36"/>
      <c r="C57" s="37"/>
      <c r="D57" s="37"/>
      <c r="E57" s="37" t="str">
        <f>'fuel summary'!E48</f>
        <v>NG开采处理阶段</v>
      </c>
      <c r="F57" s="37"/>
      <c r="G57" s="37" t="str">
        <f>'fuel summary'!G48</f>
        <v>NG液化阶段</v>
      </c>
      <c r="H57" s="37" t="str">
        <f>'fuel summary'!H48</f>
        <v>LNG输配阶段</v>
      </c>
      <c r="I57" s="37" t="str">
        <f>'fuel summary'!I48</f>
        <v>使用阶段</v>
      </c>
      <c r="J57" s="37" t="str">
        <f>'fuel summary'!J48</f>
        <v>合计</v>
      </c>
    </row>
    <row r="58" spans="1:14">
      <c r="A58" t="str">
        <f>'fuel summary'!C47</f>
        <v>国产气田产LNG</v>
      </c>
      <c r="B58" s="39" t="str">
        <f t="shared" ref="B58:D58" si="20">B47</f>
        <v>LCA-Coal</v>
      </c>
      <c r="C58" s="35" t="str">
        <f t="shared" si="20"/>
        <v>煤炭</v>
      </c>
      <c r="D58" s="35" t="str">
        <f t="shared" si="20"/>
        <v>MJ/km</v>
      </c>
      <c r="E58" s="415">
        <f>'fuel summary'!E49*'vehicle summary'!$H$6/1000</f>
        <v>1.2321060122564283E-2</v>
      </c>
      <c r="F58" s="415">
        <f>'fuel summary'!F49*'vehicle summary'!$H$6/1000</f>
        <v>0</v>
      </c>
      <c r="G58" s="415">
        <f>'fuel summary'!G49*'vehicle summary'!$H$6/1000</f>
        <v>0.30511506879609412</v>
      </c>
      <c r="H58" s="415">
        <f>'fuel summary'!H49*'vehicle summary'!$H$6/1000</f>
        <v>9.4942596106372377E-4</v>
      </c>
      <c r="I58" s="415">
        <f>'fuel summary'!I49*'vehicle summary'!$H$6/1000</f>
        <v>0</v>
      </c>
      <c r="J58" s="415">
        <f>'fuel summary'!J49*'vehicle summary'!$H$6/1000</f>
        <v>0.31838555487972214</v>
      </c>
    </row>
    <row r="59" spans="1:14">
      <c r="B59" s="39" t="str">
        <f t="shared" ref="B59:D59" si="21">B48</f>
        <v>LCA-NG</v>
      </c>
      <c r="C59" s="35" t="str">
        <f t="shared" si="21"/>
        <v>天然气</v>
      </c>
      <c r="D59" s="35" t="str">
        <f t="shared" si="21"/>
        <v>MJ/km</v>
      </c>
      <c r="E59" s="415">
        <f>'fuel summary'!E50*'vehicle summary'!$H$6/1000</f>
        <v>0.2867683700976259</v>
      </c>
      <c r="F59" s="415">
        <f>'fuel summary'!F50*'vehicle summary'!$H$6/1000</f>
        <v>0</v>
      </c>
      <c r="G59" s="415">
        <f>'fuel summary'!G50*'vehicle summary'!$H$6/1000</f>
        <v>2.3723841230244284E-2</v>
      </c>
      <c r="H59" s="415">
        <f>'fuel summary'!H50*'vehicle summary'!$H$6/1000</f>
        <v>6.5118447970512617E-4</v>
      </c>
      <c r="I59" s="415">
        <f>'fuel summary'!I50*'vehicle summary'!$H$6/1000</f>
        <v>2.506021423563213</v>
      </c>
      <c r="J59" s="415">
        <f>'fuel summary'!J50*'vehicle summary'!$H$6/1000</f>
        <v>2.8171648193707886</v>
      </c>
    </row>
    <row r="60" spans="1:14">
      <c r="B60" s="39" t="str">
        <f t="shared" ref="B60:D60" si="22">B49</f>
        <v>LCA-Oil</v>
      </c>
      <c r="C60" s="35" t="str">
        <f t="shared" si="22"/>
        <v>石油</v>
      </c>
      <c r="D60" s="35" t="str">
        <f t="shared" si="22"/>
        <v>MJ/km</v>
      </c>
      <c r="E60" s="415">
        <f>'fuel summary'!E51*'vehicle summary'!$H$6/1000</f>
        <v>1.3177142929825575E-2</v>
      </c>
      <c r="F60" s="415">
        <f>'fuel summary'!F51*'vehicle summary'!$H$6/1000</f>
        <v>0</v>
      </c>
      <c r="G60" s="415">
        <f>'fuel summary'!G51*'vehicle summary'!$H$6/1000</f>
        <v>8.625519870443377E-3</v>
      </c>
      <c r="H60" s="415">
        <f>'fuel summary'!H51*'vehicle summary'!$H$6/1000</f>
        <v>1.5068026669576601E-2</v>
      </c>
      <c r="I60" s="415">
        <f>'fuel summary'!I51*'vehicle summary'!$H$6/1000</f>
        <v>0</v>
      </c>
      <c r="J60" s="415">
        <f>'fuel summary'!J51*'vehicle summary'!$H$6/1000</f>
        <v>3.687068946984555E-2</v>
      </c>
    </row>
    <row r="61" spans="1:14">
      <c r="B61" s="39" t="str">
        <f t="shared" ref="B61:D61" si="23">B50</f>
        <v>LCA-PE</v>
      </c>
      <c r="C61" s="35" t="str">
        <f t="shared" si="23"/>
        <v>一次能源总计</v>
      </c>
      <c r="D61" s="35" t="str">
        <f t="shared" si="23"/>
        <v>MJ/km</v>
      </c>
      <c r="E61" s="415">
        <f>'fuel summary'!E52*'vehicle summary'!$H$6/1000</f>
        <v>0.31226657315001577</v>
      </c>
      <c r="F61" s="415">
        <f>'fuel summary'!F52*'vehicle summary'!$H$6/1000</f>
        <v>0</v>
      </c>
      <c r="G61" s="415">
        <f>'fuel summary'!G52*'vehicle summary'!$H$6/1000</f>
        <v>0.33746442989678177</v>
      </c>
      <c r="H61" s="415">
        <f>'fuel summary'!H52*'vehicle summary'!$H$6/1000</f>
        <v>1.6668637110345452E-2</v>
      </c>
      <c r="I61" s="415">
        <f>'fuel summary'!I52*'vehicle summary'!$H$6/1000</f>
        <v>2.506021423563213</v>
      </c>
      <c r="J61" s="415">
        <f>'fuel summary'!J52*'vehicle summary'!$H$6/1000</f>
        <v>3.1724210637203565</v>
      </c>
    </row>
    <row r="62" spans="1:14">
      <c r="B62" s="39"/>
      <c r="C62" s="35"/>
      <c r="D62" s="35"/>
      <c r="E62" s="415"/>
      <c r="F62" s="415"/>
      <c r="G62" s="415"/>
      <c r="H62" s="415"/>
      <c r="I62" s="415"/>
      <c r="J62" s="408"/>
    </row>
    <row r="63" spans="1:14">
      <c r="B63" s="39" t="str">
        <f t="shared" ref="B63:D63" si="24">B52</f>
        <v>LCA-CO2</v>
      </c>
      <c r="C63" s="35" t="str">
        <f t="shared" si="24"/>
        <v>二氧化碳</v>
      </c>
      <c r="D63" s="35" t="str">
        <f t="shared" si="24"/>
        <v>g/km</v>
      </c>
      <c r="E63" s="415">
        <f>'fuel summary'!E54*'vehicle summary'!$H$6/1000</f>
        <v>18.278859950500717</v>
      </c>
      <c r="F63" s="415">
        <f>'fuel summary'!F54*'vehicle summary'!$H$6/1000</f>
        <v>0</v>
      </c>
      <c r="G63" s="415">
        <f>'fuel summary'!G54*'vehicle summary'!$H$6/1000</f>
        <v>26.895385415288821</v>
      </c>
      <c r="H63" s="415">
        <f>'fuel summary'!H54*'vehicle summary'!$H$6/1000</f>
        <v>1.2070005788692726</v>
      </c>
      <c r="I63" s="415">
        <f>'fuel summary'!I54*'vehicle summary'!$H$6/1000</f>
        <v>143.15146177820142</v>
      </c>
      <c r="J63" s="415">
        <f>'fuel summary'!J54*'vehicle summary'!$H$6/1000</f>
        <v>189.53270772286021</v>
      </c>
    </row>
    <row r="64" spans="1:14">
      <c r="B64" s="39" t="str">
        <f t="shared" ref="B64:D64" si="25">B53</f>
        <v>LCA-CH4</v>
      </c>
      <c r="C64" s="35" t="str">
        <f t="shared" si="25"/>
        <v>甲烷</v>
      </c>
      <c r="D64" s="35" t="str">
        <f t="shared" si="25"/>
        <v>g/km</v>
      </c>
      <c r="E64" s="415">
        <f>'fuel summary'!E55*'vehicle summary'!$H$6/1000</f>
        <v>0.20655924060135078</v>
      </c>
      <c r="F64" s="415">
        <f>'fuel summary'!F55*'vehicle summary'!$H$6/1000</f>
        <v>0</v>
      </c>
      <c r="G64" s="415">
        <f>'fuel summary'!G55*'vehicle summary'!$H$6/1000</f>
        <v>0.12603831676919061</v>
      </c>
      <c r="H64" s="415">
        <f>'fuel summary'!H55*'vehicle summary'!$H$6/1000</f>
        <v>0</v>
      </c>
      <c r="I64" s="415">
        <f>'fuel summary'!I55*'vehicle summary'!$H$6/1000</f>
        <v>0</v>
      </c>
      <c r="J64" s="415">
        <f>'fuel summary'!J55*'vehicle summary'!$H$6/1000</f>
        <v>0.33259755737054136</v>
      </c>
    </row>
    <row r="65" spans="1:10">
      <c r="B65" s="39" t="str">
        <f t="shared" ref="B65:D65" si="26">B54</f>
        <v>LCA-N2O</v>
      </c>
      <c r="C65" s="35" t="str">
        <f t="shared" si="26"/>
        <v>氧化二氮</v>
      </c>
      <c r="D65" s="35" t="str">
        <f t="shared" si="26"/>
        <v>mg/km</v>
      </c>
      <c r="E65" s="415">
        <f>'fuel summary'!E56*'vehicle summary'!$H$6/1000</f>
        <v>3.8406780235078815E-7</v>
      </c>
      <c r="F65" s="415">
        <f>'fuel summary'!F56*'vehicle summary'!$H$6/1000</f>
        <v>0</v>
      </c>
      <c r="G65" s="415">
        <f>'fuel summary'!G56*'vehicle summary'!$H$6/1000</f>
        <v>4.2343700092795171E-7</v>
      </c>
      <c r="H65" s="415">
        <f>'fuel summary'!H56*'vehicle summary'!$H$6/1000</f>
        <v>0</v>
      </c>
      <c r="I65" s="415">
        <f>'fuel summary'!I56*'vehicle summary'!$H$6/1000</f>
        <v>0</v>
      </c>
      <c r="J65" s="415">
        <f>'fuel summary'!J56*'vehicle summary'!$H$6/1000</f>
        <v>8.0750480327873986E-7</v>
      </c>
    </row>
    <row r="66" spans="1:10" ht="15" thickBot="1">
      <c r="B66" s="41" t="str">
        <f t="shared" ref="B66:D66" si="27">B55</f>
        <v>LCA-GHG</v>
      </c>
      <c r="C66" s="42" t="str">
        <f t="shared" si="27"/>
        <v>GHG合计</v>
      </c>
      <c r="D66" s="42" t="str">
        <f t="shared" si="27"/>
        <v>g/km</v>
      </c>
      <c r="E66" s="415">
        <f>'fuel summary'!E57*'vehicle summary'!$H$6</f>
        <v>23.442841079986692</v>
      </c>
      <c r="F66" s="415">
        <f>'fuel summary'!F57*'vehicle summary'!$H$6</f>
        <v>0</v>
      </c>
      <c r="G66" s="415">
        <f>'fuel summary'!G57*'vehicle summary'!$H$6</f>
        <v>30.046343460702811</v>
      </c>
      <c r="H66" s="415">
        <f>'fuel summary'!H57*'vehicle summary'!$H$6</f>
        <v>1.2070005788692726</v>
      </c>
      <c r="I66" s="415">
        <f>'fuel summary'!I57*'vehicle summary'!$H$6</f>
        <v>143.15146177820142</v>
      </c>
      <c r="J66" s="415">
        <f>'fuel summary'!J57*'vehicle summary'!$H$6</f>
        <v>197.84764689776017</v>
      </c>
    </row>
    <row r="67" spans="1:10" ht="15" thickBot="1">
      <c r="D67"/>
      <c r="E67"/>
    </row>
    <row r="68" spans="1:10">
      <c r="A68" s="533" t="s">
        <v>1081</v>
      </c>
      <c r="B68" s="36"/>
      <c r="C68" s="37"/>
      <c r="D68" s="37"/>
      <c r="E68" s="37" t="str">
        <f>'fuel summary'!E61</f>
        <v>NG开采处理阶段</v>
      </c>
      <c r="F68" s="37" t="str">
        <f>'fuel summary'!F61</f>
        <v>NG输配阶段</v>
      </c>
      <c r="G68" s="37" t="str">
        <f>'fuel summary'!G61</f>
        <v>NG液化阶段</v>
      </c>
      <c r="H68" s="37" t="str">
        <f>'fuel summary'!H61</f>
        <v>LNG输配阶段</v>
      </c>
      <c r="I68" s="37" t="str">
        <f>'fuel summary'!I61</f>
        <v>使用阶段</v>
      </c>
      <c r="J68" s="37" t="str">
        <f>'fuel summary'!J61</f>
        <v>合计</v>
      </c>
    </row>
    <row r="69" spans="1:10">
      <c r="A69" t="str">
        <f>'fuel summary'!C60</f>
        <v>管输气产LNG</v>
      </c>
      <c r="B69" s="39" t="str">
        <f t="shared" ref="B69:D69" si="28">B58</f>
        <v>LCA-Coal</v>
      </c>
      <c r="C69" s="35" t="str">
        <f t="shared" si="28"/>
        <v>煤炭</v>
      </c>
      <c r="D69" s="35" t="str">
        <f t="shared" si="28"/>
        <v>MJ/km</v>
      </c>
      <c r="E69" s="415">
        <f>'fuel summary'!E62*'vehicle summary'!$H$6/1000</f>
        <v>1.2321060122564283E-2</v>
      </c>
      <c r="F69" s="415">
        <f>'fuel summary'!F62*'vehicle summary'!$H$6/1000</f>
        <v>8.2566180655524145E-3</v>
      </c>
      <c r="G69" s="415">
        <f>'fuel summary'!G62*'vehicle summary'!$H$6/1000</f>
        <v>0.30484065719764619</v>
      </c>
      <c r="H69" s="415">
        <f>'fuel summary'!H62*'vehicle summary'!$H$6/1000</f>
        <v>9.4942596106372377E-4</v>
      </c>
      <c r="I69" s="415">
        <f>'fuel summary'!I62*'vehicle summary'!$H$6/1000</f>
        <v>0</v>
      </c>
      <c r="J69" s="415">
        <f>'fuel summary'!J62*'vehicle summary'!$H$6/1000</f>
        <v>0.32636776134682655</v>
      </c>
    </row>
    <row r="70" spans="1:10">
      <c r="B70" s="39" t="str">
        <f t="shared" ref="B70:D70" si="29">B59</f>
        <v>LCA-NG</v>
      </c>
      <c r="C70" s="35" t="str">
        <f t="shared" si="29"/>
        <v>天然气</v>
      </c>
      <c r="D70" s="35" t="str">
        <f t="shared" si="29"/>
        <v>MJ/km</v>
      </c>
      <c r="E70" s="415">
        <f>'fuel summary'!E63*'vehicle summary'!$H$6/1000</f>
        <v>0.2867683700976259</v>
      </c>
      <c r="F70" s="415">
        <f>'fuel summary'!F63*'vehicle summary'!$H$6/1000</f>
        <v>2.8463805012679429E-2</v>
      </c>
      <c r="G70" s="415">
        <f>'fuel summary'!G63*'vehicle summary'!$H$6/1000</f>
        <v>2.3702504699016892E-2</v>
      </c>
      <c r="H70" s="415">
        <f>'fuel summary'!H63*'vehicle summary'!$H$6/1000</f>
        <v>6.5118447970512617E-4</v>
      </c>
      <c r="I70" s="415">
        <f>'fuel summary'!I63*'vehicle summary'!$H$6/1000</f>
        <v>2.506021423563213</v>
      </c>
      <c r="J70" s="415">
        <f>'fuel summary'!J63*'vehicle summary'!$H$6/1000</f>
        <v>2.84560728785224</v>
      </c>
    </row>
    <row r="71" spans="1:10">
      <c r="B71" s="39" t="str">
        <f t="shared" ref="B71:D71" si="30">B60</f>
        <v>LCA-Oil</v>
      </c>
      <c r="C71" s="35" t="str">
        <f t="shared" si="30"/>
        <v>石油</v>
      </c>
      <c r="D71" s="35" t="str">
        <f t="shared" si="30"/>
        <v>MJ/km</v>
      </c>
      <c r="E71" s="415">
        <f>'fuel summary'!E64*'vehicle summary'!$H$6/1000</f>
        <v>1.3177142929825575E-2</v>
      </c>
      <c r="F71" s="415">
        <f>'fuel summary'!F64*'vehicle summary'!$H$6/1000</f>
        <v>1.4822173915000456E-3</v>
      </c>
      <c r="G71" s="415">
        <f>'fuel summary'!G64*'vehicle summary'!$H$6/1000</f>
        <v>8.6177623293149357E-3</v>
      </c>
      <c r="H71" s="415">
        <f>'fuel summary'!H64*'vehicle summary'!$H$6/1000</f>
        <v>1.5068026669576601E-2</v>
      </c>
      <c r="I71" s="415">
        <f>'fuel summary'!I64*'vehicle summary'!$H$6/1000</f>
        <v>0</v>
      </c>
      <c r="J71" s="415">
        <f>'fuel summary'!J64*'vehicle summary'!$H$6/1000</f>
        <v>3.834514932021716E-2</v>
      </c>
    </row>
    <row r="72" spans="1:10">
      <c r="B72" s="39" t="str">
        <f t="shared" ref="B72:D72" si="31">B61</f>
        <v>LCA-PE</v>
      </c>
      <c r="C72" s="35" t="str">
        <f t="shared" si="31"/>
        <v>一次能源总计</v>
      </c>
      <c r="D72" s="35" t="str">
        <f t="shared" si="31"/>
        <v>MJ/km</v>
      </c>
      <c r="E72" s="415">
        <f>'fuel summary'!E65*'vehicle summary'!$H$6/1000</f>
        <v>0.31226657315001577</v>
      </c>
      <c r="F72" s="415">
        <f>'fuel summary'!F65*'vehicle summary'!$H$6/1000</f>
        <v>3.8202640469731888E-2</v>
      </c>
      <c r="G72" s="415">
        <f>'fuel summary'!G65*'vehicle summary'!$H$6/1000</f>
        <v>0.33716092422597804</v>
      </c>
      <c r="H72" s="415">
        <f>'fuel summary'!H65*'vehicle summary'!$H$6/1000</f>
        <v>1.6668637110345452E-2</v>
      </c>
      <c r="I72" s="415">
        <f>'fuel summary'!I65*'vehicle summary'!$H$6/1000</f>
        <v>2.506021423563213</v>
      </c>
      <c r="J72" s="415">
        <f>'fuel summary'!J65*'vehicle summary'!$H$6/1000</f>
        <v>3.210320198519284</v>
      </c>
    </row>
    <row r="73" spans="1:10">
      <c r="B73" s="39"/>
      <c r="C73" s="35"/>
      <c r="D73" s="35"/>
      <c r="E73" s="415"/>
      <c r="F73" s="415"/>
      <c r="G73" s="415"/>
      <c r="H73" s="415"/>
      <c r="I73" s="415"/>
      <c r="J73" s="408"/>
    </row>
    <row r="74" spans="1:10">
      <c r="B74" s="39" t="str">
        <f t="shared" ref="B74:D74" si="32">B63</f>
        <v>LCA-CO2</v>
      </c>
      <c r="C74" s="35" t="str">
        <f t="shared" si="32"/>
        <v>二氧化碳</v>
      </c>
      <c r="D74" s="35" t="str">
        <f t="shared" si="32"/>
        <v>g/km</v>
      </c>
      <c r="E74" s="415">
        <f>'fuel summary'!E67*'vehicle summary'!$H$6/1000</f>
        <v>18.278859950500717</v>
      </c>
      <c r="F74" s="415">
        <f>'fuel summary'!F67*'vehicle summary'!$H$6/1000</f>
        <v>2.401414892165052</v>
      </c>
      <c r="G74" s="415">
        <f>'fuel summary'!G67*'vehicle summary'!$H$6/1000</f>
        <v>26.87119648967527</v>
      </c>
      <c r="H74" s="415">
        <f>'fuel summary'!H67*'vehicle summary'!$H$6/1000</f>
        <v>1.2070005788692726</v>
      </c>
      <c r="I74" s="415">
        <f>'fuel summary'!I67*'vehicle summary'!$H$6/1000</f>
        <v>143.15146177820142</v>
      </c>
      <c r="J74" s="415">
        <f>'fuel summary'!J67*'vehicle summary'!$H$6/1000</f>
        <v>191.90993368941173</v>
      </c>
    </row>
    <row r="75" spans="1:10">
      <c r="B75" s="39" t="str">
        <f t="shared" ref="B75:D75" si="33">B64</f>
        <v>LCA-CH4</v>
      </c>
      <c r="C75" s="35" t="str">
        <f t="shared" si="33"/>
        <v>甲烷</v>
      </c>
      <c r="D75" s="35" t="str">
        <f t="shared" si="33"/>
        <v>g/km</v>
      </c>
      <c r="E75" s="415">
        <f>'fuel summary'!E68*'vehicle summary'!$H$6/1000</f>
        <v>0.20655924060135078</v>
      </c>
      <c r="F75" s="415">
        <f>'fuel summary'!F68*'vehicle summary'!$H$6/1000</f>
        <v>5.4584078484953722E-3</v>
      </c>
      <c r="G75" s="415">
        <f>'fuel summary'!G68*'vehicle summary'!$H$6/1000</f>
        <v>0.12592496158123875</v>
      </c>
      <c r="H75" s="415">
        <f>'fuel summary'!H68*'vehicle summary'!$H$6/1000</f>
        <v>0</v>
      </c>
      <c r="I75" s="415">
        <f>'fuel summary'!I68*'vehicle summary'!$H$6/1000</f>
        <v>0</v>
      </c>
      <c r="J75" s="415">
        <f>'fuel summary'!J68*'vehicle summary'!$H$6/1000</f>
        <v>0.33794261003108489</v>
      </c>
    </row>
    <row r="76" spans="1:10">
      <c r="B76" s="39" t="str">
        <f t="shared" ref="B76:D76" si="34">B65</f>
        <v>LCA-N2O</v>
      </c>
      <c r="C76" s="35" t="str">
        <f t="shared" si="34"/>
        <v>氧化二氮</v>
      </c>
      <c r="D76" s="35" t="str">
        <f t="shared" si="34"/>
        <v>mg/km</v>
      </c>
      <c r="E76" s="415">
        <f>'fuel summary'!E69*'vehicle summary'!$H$6/1000</f>
        <v>3.8406780235078815E-7</v>
      </c>
      <c r="F76" s="415">
        <f>'fuel summary'!F69*'vehicle summary'!$H$6/1000</f>
        <v>4.7180559482441742E-8</v>
      </c>
      <c r="G76" s="415">
        <f>'fuel summary'!G69*'vehicle summary'!$H$6/1000</f>
        <v>4.23056174032954E-7</v>
      </c>
      <c r="H76" s="415">
        <f>'fuel summary'!H69*'vehicle summary'!$H$6/1000</f>
        <v>0</v>
      </c>
      <c r="I76" s="415">
        <f>'fuel summary'!I69*'vehicle summary'!$H$6/1000</f>
        <v>0</v>
      </c>
      <c r="J76" s="415">
        <f>'fuel summary'!J69*'vehicle summary'!$H$6/1000</f>
        <v>8.54304535866184E-7</v>
      </c>
    </row>
    <row r="77" spans="1:10" ht="15" thickBot="1">
      <c r="B77" s="41" t="str">
        <f t="shared" ref="B77:D77" si="35">B66</f>
        <v>LCA-GHG</v>
      </c>
      <c r="C77" s="42" t="str">
        <f t="shared" si="35"/>
        <v>GHG合计</v>
      </c>
      <c r="D77" s="42" t="str">
        <f t="shared" si="35"/>
        <v>g/km</v>
      </c>
      <c r="E77" s="415">
        <f>'fuel summary'!E70*'vehicle summary'!$H$6</f>
        <v>23.442841079986692</v>
      </c>
      <c r="F77" s="415">
        <f>'fuel summary'!F70*'vehicle summary'!$H$6</f>
        <v>2.5378751024372432</v>
      </c>
      <c r="G77" s="415">
        <f>'fuel summary'!G70*'vehicle summary'!$H$6</f>
        <v>30.019320655276978</v>
      </c>
      <c r="H77" s="415">
        <f>'fuel summary'!H70*'vehicle summary'!$H$6</f>
        <v>1.2070005788692726</v>
      </c>
      <c r="I77" s="415">
        <f>'fuel summary'!I70*'vehicle summary'!$H$6</f>
        <v>143.15146177820142</v>
      </c>
      <c r="J77" s="415">
        <f>'fuel summary'!J70*'vehicle summary'!$H$6</f>
        <v>200.35849919477158</v>
      </c>
    </row>
    <row r="78" spans="1:10" ht="15" thickBot="1">
      <c r="D78"/>
      <c r="E78"/>
    </row>
    <row r="79" spans="1:10">
      <c r="A79" t="str">
        <f>A7</f>
        <v>乙醇车</v>
      </c>
      <c r="B79" s="36"/>
      <c r="C79" s="37"/>
      <c r="D79" s="37"/>
      <c r="E79" s="37" t="str">
        <f>'fuel summary'!E267</f>
        <v>原料种植</v>
      </c>
      <c r="F79" s="37" t="str">
        <f>'fuel summary'!F267</f>
        <v>原料运输</v>
      </c>
      <c r="G79" s="37" t="str">
        <f>'fuel summary'!G267</f>
        <v>燃料制取</v>
      </c>
      <c r="H79" s="37" t="str">
        <f>'fuel summary'!H267</f>
        <v>燃料输配</v>
      </c>
      <c r="I79" s="37" t="str">
        <f>'fuel summary'!I267</f>
        <v>燃料使用</v>
      </c>
      <c r="J79" s="37" t="str">
        <f>'fuel summary'!J267</f>
        <v>合计</v>
      </c>
    </row>
    <row r="80" spans="1:10">
      <c r="A80" t="str">
        <f>'fuel summary'!B266</f>
        <v>玉米燃料乙醇</v>
      </c>
      <c r="B80" s="39" t="str">
        <f t="shared" ref="B80:D80" si="36">B69</f>
        <v>LCA-Coal</v>
      </c>
      <c r="C80" s="35" t="str">
        <f t="shared" si="36"/>
        <v>煤炭</v>
      </c>
      <c r="D80" s="35" t="str">
        <f t="shared" si="36"/>
        <v>MJ/km</v>
      </c>
      <c r="E80" s="415">
        <f>'fuel summary'!E268*'vehicle summary'!$H$7</f>
        <v>0.25025343301587394</v>
      </c>
      <c r="F80" s="415">
        <f>'fuel summary'!F268*'vehicle summary'!$H$7</f>
        <v>4.5111100567611162E-3</v>
      </c>
      <c r="G80" s="415">
        <f>'fuel summary'!G268*'vehicle summary'!$H$7</f>
        <v>1.5837572360733239</v>
      </c>
      <c r="H80" s="415">
        <f>'fuel summary'!H268*'vehicle summary'!$H$7</f>
        <v>2.5978139924858036E-3</v>
      </c>
      <c r="I80" s="415">
        <f>'fuel summary'!I268*'vehicle summary'!$H$7</f>
        <v>0</v>
      </c>
      <c r="J80" s="415">
        <f>'fuel summary'!J268*'vehicle summary'!$H$7</f>
        <v>1.841119593138445</v>
      </c>
    </row>
    <row r="81" spans="1:10">
      <c r="B81" s="39" t="str">
        <f t="shared" ref="B81:D81" si="37">B70</f>
        <v>LCA-NG</v>
      </c>
      <c r="C81" s="35" t="str">
        <f t="shared" si="37"/>
        <v>天然气</v>
      </c>
      <c r="D81" s="35" t="str">
        <f t="shared" si="37"/>
        <v>MJ/km</v>
      </c>
      <c r="E81" s="415">
        <f>'fuel summary'!E269*'vehicle summary'!$H$7</f>
        <v>8.8083042125633379E-2</v>
      </c>
      <c r="F81" s="415">
        <f>'fuel summary'!F269*'vehicle summary'!$H$7</f>
        <v>3.1915267492739134E-3</v>
      </c>
      <c r="G81" s="415">
        <f>'fuel summary'!G269*'vehicle summary'!$H$7</f>
        <v>3.9144655347968906E-3</v>
      </c>
      <c r="H81" s="415">
        <f>'fuel summary'!H269*'vehicle summary'!$H$7</f>
        <v>1.8288763015567062E-3</v>
      </c>
      <c r="I81" s="415">
        <f>'fuel summary'!I269*'vehicle summary'!$H$7</f>
        <v>0</v>
      </c>
      <c r="J81" s="415">
        <f>'fuel summary'!J269*'vehicle summary'!$H$7</f>
        <v>9.7017910711260896E-2</v>
      </c>
    </row>
    <row r="82" spans="1:10">
      <c r="B82" s="39" t="str">
        <f t="shared" ref="B82:D82" si="38">B71</f>
        <v>LCA-Oil</v>
      </c>
      <c r="C82" s="35" t="str">
        <f t="shared" si="38"/>
        <v>石油</v>
      </c>
      <c r="D82" s="35" t="str">
        <f t="shared" si="38"/>
        <v>MJ/km</v>
      </c>
      <c r="E82" s="415">
        <f>'fuel summary'!E270*'vehicle summary'!$H$7</f>
        <v>0.1675189223674616</v>
      </c>
      <c r="F82" s="415">
        <f>'fuel summary'!F270*'vehicle summary'!$H$7</f>
        <v>7.413393886775943E-2</v>
      </c>
      <c r="G82" s="415">
        <f>'fuel summary'!G270*'vehicle summary'!$H$7</f>
        <v>2.1755654465358251E-2</v>
      </c>
      <c r="H82" s="415">
        <f>'fuel summary'!H270*'vehicle summary'!$H$7</f>
        <v>4.2394992682607005E-2</v>
      </c>
      <c r="I82" s="415">
        <f>'fuel summary'!I270*'vehicle summary'!$H$7</f>
        <v>0</v>
      </c>
      <c r="J82" s="415">
        <f>'fuel summary'!J270*'vehicle summary'!$H$7</f>
        <v>0.30580350838318632</v>
      </c>
    </row>
    <row r="83" spans="1:10">
      <c r="B83" s="39" t="str">
        <f t="shared" ref="B83:D83" si="39">B72</f>
        <v>LCA-PE</v>
      </c>
      <c r="C83" s="35" t="str">
        <f t="shared" si="39"/>
        <v>一次能源总计</v>
      </c>
      <c r="D83" s="35" t="str">
        <f t="shared" si="39"/>
        <v>MJ/km</v>
      </c>
      <c r="E83" s="415">
        <f>'fuel summary'!E271*'vehicle summary'!$H$7</f>
        <v>0.50585539750896891</v>
      </c>
      <c r="F83" s="415">
        <f>'fuel summary'!F271*'vehicle summary'!$H$7</f>
        <v>8.1836575673794459E-2</v>
      </c>
      <c r="G83" s="415">
        <f>'fuel summary'!G271*'vehicle summary'!$H$7</f>
        <v>1.6094273560734791</v>
      </c>
      <c r="H83" s="415">
        <f>'fuel summary'!H271*'vehicle summary'!$H$7</f>
        <v>4.6821682976649515E-2</v>
      </c>
      <c r="I83" s="415">
        <f>'fuel summary'!I271*'vehicle summary'!$H$7</f>
        <v>0</v>
      </c>
      <c r="J83" s="415">
        <f>'fuel summary'!J271*'vehicle summary'!$H$7</f>
        <v>2.243941012232892</v>
      </c>
    </row>
    <row r="84" spans="1:10">
      <c r="B84" s="39"/>
      <c r="C84" s="35"/>
      <c r="D84" s="35"/>
      <c r="E84" s="415"/>
      <c r="F84" s="415"/>
      <c r="G84" s="415"/>
      <c r="H84" s="415"/>
      <c r="I84" s="415"/>
      <c r="J84" s="408"/>
    </row>
    <row r="85" spans="1:10">
      <c r="B85" s="39" t="str">
        <f t="shared" ref="B85:D85" si="40">B74</f>
        <v>LCA-CO2</v>
      </c>
      <c r="C85" s="35" t="str">
        <f t="shared" si="40"/>
        <v>二氧化碳</v>
      </c>
      <c r="D85" s="35" t="str">
        <f t="shared" si="40"/>
        <v>g/km</v>
      </c>
      <c r="E85" s="415">
        <f>'fuel summary'!E273*'vehicle summary'!$H$7</f>
        <v>37.600867511547243</v>
      </c>
      <c r="F85" s="415">
        <f>'fuel summary'!F273*'vehicle summary'!$H$7</f>
        <v>5.9246150768899914</v>
      </c>
      <c r="G85" s="415">
        <f>'fuel summary'!G273*'vehicle summary'!$H$7</f>
        <v>131.10033350162098</v>
      </c>
      <c r="H85" s="415">
        <f>'fuel summary'!H273*'vehicle summary'!$H$7</f>
        <v>3.3346078220815207</v>
      </c>
      <c r="I85" s="415">
        <f>'fuel summary'!I273*'vehicle summary'!$H$7</f>
        <v>0</v>
      </c>
      <c r="J85" s="415">
        <f>'fuel summary'!J273*'vehicle summary'!$H$7</f>
        <v>177.96042391213973</v>
      </c>
    </row>
    <row r="86" spans="1:10">
      <c r="B86" s="39" t="str">
        <f t="shared" ref="B86:D86" si="41">B75</f>
        <v>LCA-CH4</v>
      </c>
      <c r="C86" s="35" t="str">
        <f t="shared" si="41"/>
        <v>甲烷</v>
      </c>
      <c r="D86" s="35" t="str">
        <f t="shared" si="41"/>
        <v>g/km</v>
      </c>
      <c r="E86" s="415">
        <f>'fuel summary'!E274*'vehicle summary'!$H$7</f>
        <v>0.11106545733083488</v>
      </c>
      <c r="F86" s="415">
        <f>'fuel summary'!F274*'vehicle summary'!$H$7</f>
        <v>3.0228529116296129E-3</v>
      </c>
      <c r="G86" s="415">
        <f>'fuel summary'!G274*'vehicle summary'!$H$7</f>
        <v>0.64525420181884574</v>
      </c>
      <c r="H86" s="415">
        <f>'fuel summary'!H274*'vehicle summary'!$H$7</f>
        <v>2.6333705142510756E-3</v>
      </c>
      <c r="I86" s="415">
        <f>'fuel summary'!I274*'vehicle summary'!$H$7</f>
        <v>0</v>
      </c>
      <c r="J86" s="415">
        <f>'fuel summary'!J274*'vehicle summary'!$H$7</f>
        <v>0.76197588257556137</v>
      </c>
    </row>
    <row r="87" spans="1:10">
      <c r="B87" s="39" t="str">
        <f t="shared" ref="B87:D87" si="42">B76</f>
        <v>LCA-N2O</v>
      </c>
      <c r="C87" s="35" t="str">
        <f t="shared" si="42"/>
        <v>氧化二氮</v>
      </c>
      <c r="D87" s="35" t="str">
        <f t="shared" si="42"/>
        <v>mg/km</v>
      </c>
      <c r="E87" s="415">
        <f>'fuel summary'!E275*'vehicle summary'!$H$7</f>
        <v>74.497026172821109</v>
      </c>
      <c r="F87" s="415">
        <f>'fuel summary'!F275*'vehicle summary'!$H$7</f>
        <v>1.8362414879078449E-3</v>
      </c>
      <c r="G87" s="415">
        <f>'fuel summary'!G275*'vehicle summary'!$H$7</f>
        <v>2.0410116702615881E-3</v>
      </c>
      <c r="H87" s="415">
        <f>'fuel summary'!H275*'vehicle summary'!$H$7</f>
        <v>7.4134520252576767E-4</v>
      </c>
      <c r="I87" s="415">
        <f>'fuel summary'!I275*'vehicle summary'!$H$7</f>
        <v>0</v>
      </c>
      <c r="J87" s="415">
        <f>'fuel summary'!J275*'vehicle summary'!$H$7</f>
        <v>74.501644771181802</v>
      </c>
    </row>
    <row r="88" spans="1:10" ht="15" thickBot="1">
      <c r="B88" s="41" t="str">
        <f t="shared" ref="B88:D88" si="43">B77</f>
        <v>LCA-GHG</v>
      </c>
      <c r="C88" s="42" t="str">
        <f t="shared" si="43"/>
        <v>GHG合计</v>
      </c>
      <c r="D88" s="42" t="str">
        <f t="shared" si="43"/>
        <v>g/km</v>
      </c>
      <c r="E88" s="415">
        <f>'fuel summary'!E276*'vehicle summary'!$H$7</f>
        <v>62.5776177443188</v>
      </c>
      <c r="F88" s="415">
        <f>'fuel summary'!F276*'vehicle summary'!$H$7</f>
        <v>6.0007335996441276</v>
      </c>
      <c r="G88" s="415">
        <f>'fuel summary'!G276*'vehicle summary'!$H$7</f>
        <v>147.23229676856985</v>
      </c>
      <c r="H88" s="415">
        <f>'fuel summary'!H276*'vehicle summary'!$H$7</f>
        <v>3.4006630058081502</v>
      </c>
      <c r="I88" s="415">
        <f>'fuel summary'!I276*'vehicle summary'!$H$7</f>
        <v>0</v>
      </c>
      <c r="J88" s="415">
        <f>'fuel summary'!J276*'vehicle summary'!$H$7</f>
        <v>219.21131111834094</v>
      </c>
    </row>
    <row r="89" spans="1:10" ht="15" thickBot="1">
      <c r="D89"/>
      <c r="E89"/>
    </row>
    <row r="90" spans="1:10">
      <c r="A90" t="str">
        <f>A8</f>
        <v>生物柴油车</v>
      </c>
      <c r="B90" s="36"/>
      <c r="C90" s="37"/>
      <c r="D90" s="37"/>
      <c r="E90" s="37" t="str">
        <f>'fuel summary'!E280</f>
        <v>原料种植</v>
      </c>
      <c r="F90" s="37" t="str">
        <f>'fuel summary'!F280</f>
        <v>原料运输</v>
      </c>
      <c r="G90" s="37" t="str">
        <f>'fuel summary'!G280</f>
        <v>燃料制取</v>
      </c>
      <c r="H90" s="37" t="str">
        <f>'fuel summary'!H280</f>
        <v>燃料输配</v>
      </c>
      <c r="I90" s="37" t="str">
        <f>'fuel summary'!I280</f>
        <v>燃料使用</v>
      </c>
      <c r="J90" s="37" t="str">
        <f>'fuel summary'!J280</f>
        <v>合计</v>
      </c>
    </row>
    <row r="91" spans="1:10">
      <c r="A91" t="str">
        <f>'fuel summary'!B279</f>
        <v>小桐子制取生物柴油</v>
      </c>
      <c r="B91" s="39" t="str">
        <f t="shared" ref="B91:D91" si="44">B80</f>
        <v>LCA-Coal</v>
      </c>
      <c r="C91" s="35" t="str">
        <f t="shared" si="44"/>
        <v>煤炭</v>
      </c>
      <c r="D91" s="35" t="str">
        <f t="shared" si="44"/>
        <v>MJ/km</v>
      </c>
      <c r="E91" s="415">
        <f>'fuel summary'!E281*'vehicle summary'!$H$8</f>
        <v>0.17199702000190031</v>
      </c>
      <c r="F91" s="415">
        <f>'fuel summary'!F281*'vehicle summary'!$H$8</f>
        <v>0.12121711001779426</v>
      </c>
      <c r="G91" s="415">
        <f>'fuel summary'!G281*'vehicle summary'!$H$8</f>
        <v>0.4623319319522648</v>
      </c>
      <c r="H91" s="415">
        <f>'fuel summary'!H281*'vehicle summary'!$H$8</f>
        <v>6.4664540543426727E-3</v>
      </c>
      <c r="I91" s="415">
        <f>'fuel summary'!I281*'vehicle summary'!$H$8</f>
        <v>0</v>
      </c>
      <c r="J91" s="415">
        <f>'fuel summary'!J281*'vehicle summary'!$H$8</f>
        <v>0.76201251602630204</v>
      </c>
    </row>
    <row r="92" spans="1:10">
      <c r="B92" s="39" t="str">
        <f t="shared" ref="B92:D92" si="45">B81</f>
        <v>LCA-NG</v>
      </c>
      <c r="C92" s="35" t="str">
        <f t="shared" si="45"/>
        <v>天然气</v>
      </c>
      <c r="D92" s="35" t="str">
        <f t="shared" si="45"/>
        <v>MJ/km</v>
      </c>
      <c r="E92" s="415">
        <f>'fuel summary'!E282*'vehicle summary'!$H$8</f>
        <v>0.10785015486894285</v>
      </c>
      <c r="F92" s="415">
        <f>'fuel summary'!F282*'vehicle summary'!$H$8</f>
        <v>6.6818988887372647E-3</v>
      </c>
      <c r="G92" s="415">
        <f>'fuel summary'!G282*'vehicle summary'!$H$8</f>
        <v>0.45495780839935535</v>
      </c>
      <c r="H92" s="415">
        <f>'fuel summary'!H282*'vehicle summary'!$H$8</f>
        <v>3.5877917571898536E-4</v>
      </c>
      <c r="I92" s="415">
        <f>'fuel summary'!I282*'vehicle summary'!$H$8</f>
        <v>0</v>
      </c>
      <c r="J92" s="415">
        <f>'fuel summary'!J282*'vehicle summary'!$H$8</f>
        <v>0.56984864133275448</v>
      </c>
    </row>
    <row r="93" spans="1:10">
      <c r="B93" s="39" t="str">
        <f t="shared" ref="B93:D93" si="46">B82</f>
        <v>LCA-Oil</v>
      </c>
      <c r="C93" s="35" t="str">
        <f t="shared" si="46"/>
        <v>石油</v>
      </c>
      <c r="D93" s="35" t="str">
        <f t="shared" si="46"/>
        <v>MJ/km</v>
      </c>
      <c r="E93" s="415">
        <f>'fuel summary'!E283*'vehicle summary'!$H$8</f>
        <v>3.4545878514414034E-2</v>
      </c>
      <c r="F93" s="415">
        <f>'fuel summary'!F283*'vehicle summary'!$H$8</f>
        <v>4.7273196111424194E-3</v>
      </c>
      <c r="G93" s="415">
        <f>'fuel summary'!G283*'vehicle summary'!$H$8</f>
        <v>1.1244884128715998E-3</v>
      </c>
      <c r="H93" s="415">
        <f>'fuel summary'!H283*'vehicle summary'!$H$8</f>
        <v>2.5258264597175043E-4</v>
      </c>
      <c r="I93" s="415">
        <f>'fuel summary'!I283*'vehicle summary'!$H$8</f>
        <v>0</v>
      </c>
      <c r="J93" s="415">
        <f>'fuel summary'!J283*'vehicle summary'!$H$8</f>
        <v>4.0650269184399797E-2</v>
      </c>
    </row>
    <row r="94" spans="1:10">
      <c r="B94" s="39" t="str">
        <f t="shared" ref="B94:D94" si="47">B83</f>
        <v>LCA-PE</v>
      </c>
      <c r="C94" s="35" t="str">
        <f t="shared" si="47"/>
        <v>一次能源总计</v>
      </c>
      <c r="D94" s="35" t="str">
        <f t="shared" si="47"/>
        <v>MJ/km</v>
      </c>
      <c r="E94" s="415">
        <f>'fuel summary'!E284*'vehicle summary'!$H$8</f>
        <v>0.31439305338525719</v>
      </c>
      <c r="F94" s="415">
        <f>'fuel summary'!F284*'vehicle summary'!$H$8</f>
        <v>0.13262632851767395</v>
      </c>
      <c r="G94" s="415">
        <f>'fuel summary'!G284*'vehicle summary'!$H$8</f>
        <v>0.91841422876449175</v>
      </c>
      <c r="H94" s="415">
        <f>'fuel summary'!H284*'vehicle summary'!$H$8</f>
        <v>7.0778158760334076E-3</v>
      </c>
      <c r="I94" s="415">
        <f>'fuel summary'!I284*'vehicle summary'!$H$8</f>
        <v>0</v>
      </c>
      <c r="J94" s="415">
        <f>'fuel summary'!J284*'vehicle summary'!$H$8</f>
        <v>1.3725114265434564</v>
      </c>
    </row>
    <row r="95" spans="1:10">
      <c r="B95" s="39"/>
      <c r="C95" s="35"/>
      <c r="D95" s="35"/>
      <c r="E95" s="415"/>
      <c r="F95" s="415"/>
      <c r="G95" s="415"/>
      <c r="H95" s="415"/>
      <c r="I95" s="415"/>
      <c r="J95" s="408"/>
    </row>
    <row r="96" spans="1:10">
      <c r="B96" s="39" t="str">
        <f t="shared" ref="B96:D96" si="48">B85</f>
        <v>LCA-CO2</v>
      </c>
      <c r="C96" s="35" t="str">
        <f t="shared" si="48"/>
        <v>二氧化碳</v>
      </c>
      <c r="D96" s="35" t="str">
        <f t="shared" si="48"/>
        <v>g/km</v>
      </c>
      <c r="E96" s="415">
        <f>'fuel summary'!E286*'vehicle summary'!$H$8</f>
        <v>12.91956778250438</v>
      </c>
      <c r="F96" s="415">
        <f>'fuel summary'!F286*'vehicle summary'!$H$8</f>
        <v>8.7755958955455871</v>
      </c>
      <c r="G96" s="415">
        <f>'fuel summary'!G286*'vehicle summary'!$H$8</f>
        <v>37.660519587081872</v>
      </c>
      <c r="H96" s="415">
        <f>'fuel summary'!H286*'vehicle summary'!$H$8</f>
        <v>1.3816091327705329</v>
      </c>
      <c r="I96" s="415">
        <f>'fuel summary'!I286*'vehicle summary'!$H$8</f>
        <v>0</v>
      </c>
      <c r="J96" s="415">
        <f>'fuel summary'!J286*'vehicle summary'!$H$8</f>
        <v>60.73729239790238</v>
      </c>
    </row>
    <row r="97" spans="1:10">
      <c r="B97" s="39" t="str">
        <f t="shared" ref="B97:D97" si="49">B86</f>
        <v>LCA-CH4</v>
      </c>
      <c r="C97" s="35" t="str">
        <f t="shared" si="49"/>
        <v>甲烷</v>
      </c>
      <c r="D97" s="35" t="str">
        <f t="shared" si="49"/>
        <v>g/km</v>
      </c>
      <c r="E97" s="415">
        <f>'fuel summary'!E287*'vehicle summary'!$H$8</f>
        <v>4.6803529536034137E-2</v>
      </c>
      <c r="F97" s="415">
        <f>'fuel summary'!F287*'vehicle summary'!$H$8</f>
        <v>4.4774783272603516E-3</v>
      </c>
      <c r="G97" s="415">
        <f>'fuel summary'!G287*'vehicle summary'!$H$8</f>
        <v>0.18535886108897701</v>
      </c>
      <c r="H97" s="415">
        <f>'fuel summary'!H287*'vehicle summary'!$H$8</f>
        <v>1.0910694590126756E-3</v>
      </c>
      <c r="I97" s="415">
        <f>'fuel summary'!I287*'vehicle summary'!$H$8</f>
        <v>0</v>
      </c>
      <c r="J97" s="415">
        <f>'fuel summary'!J287*'vehicle summary'!$H$8</f>
        <v>0.23773093841128418</v>
      </c>
    </row>
    <row r="98" spans="1:10">
      <c r="B98" s="39" t="str">
        <f t="shared" ref="B98:D98" si="50">B87</f>
        <v>LCA-N2O</v>
      </c>
      <c r="C98" s="35" t="str">
        <f t="shared" si="50"/>
        <v>氧化二氮</v>
      </c>
      <c r="D98" s="35" t="str">
        <f t="shared" si="50"/>
        <v>mg/km</v>
      </c>
      <c r="E98" s="415">
        <f>'fuel summary'!E288*'vehicle summary'!$H$8</f>
        <v>42.947005650316974</v>
      </c>
      <c r="F98" s="415">
        <f>'fuel summary'!F288*'vehicle summary'!$H$8</f>
        <v>2.7198582617410125E-3</v>
      </c>
      <c r="G98" s="415">
        <f>'fuel summary'!G288*'vehicle summary'!$H$8</f>
        <v>5.8631094164530734E-4</v>
      </c>
      <c r="H98" s="415">
        <f>'fuel summary'!H288*'vehicle summary'!$H$8</f>
        <v>3.0715735012756807E-4</v>
      </c>
      <c r="I98" s="415">
        <f>'fuel summary'!I288*'vehicle summary'!$H$8</f>
        <v>0</v>
      </c>
      <c r="J98" s="415">
        <f>'fuel summary'!J288*'vehicle summary'!$H$8</f>
        <v>42.950618976870494</v>
      </c>
    </row>
    <row r="99" spans="1:10" ht="15" thickBot="1">
      <c r="B99" s="41" t="str">
        <f t="shared" ref="B99:D99" si="51">B88</f>
        <v>LCA-GHG</v>
      </c>
      <c r="C99" s="42" t="str">
        <f t="shared" si="51"/>
        <v>GHG合计</v>
      </c>
      <c r="D99" s="42" t="str">
        <f t="shared" si="51"/>
        <v>g/km</v>
      </c>
      <c r="E99" s="415">
        <f>'fuel summary'!E289*'vehicle summary'!$H$8</f>
        <v>26.88786370469969</v>
      </c>
      <c r="F99" s="415">
        <f>'fuel summary'!F289*'vehicle summary'!$H$8</f>
        <v>8.8883433714890945</v>
      </c>
      <c r="G99" s="415">
        <f>'fuel summary'!G289*'vehicle summary'!$H$8</f>
        <v>42.294665834966906</v>
      </c>
      <c r="H99" s="415">
        <f>'fuel summary'!H289*'vehicle summary'!$H$8</f>
        <v>1.4089774021361878</v>
      </c>
      <c r="I99" s="415">
        <f>'fuel summary'!I289*'vehicle summary'!$H$8</f>
        <v>0</v>
      </c>
      <c r="J99" s="415">
        <f>'fuel summary'!J289*'vehicle summary'!$H$8</f>
        <v>79.479850313291891</v>
      </c>
    </row>
    <row r="100" spans="1:10">
      <c r="B100" s="35"/>
      <c r="C100" s="35"/>
      <c r="D100" s="35"/>
      <c r="E100" s="415"/>
      <c r="F100" s="415"/>
      <c r="G100" s="415"/>
      <c r="H100" s="415"/>
      <c r="I100" s="415"/>
      <c r="J100" s="415"/>
    </row>
    <row r="101" spans="1:10" ht="15" thickBot="1">
      <c r="D101"/>
      <c r="E101"/>
    </row>
    <row r="102" spans="1:10">
      <c r="A102" t="str">
        <f>A9</f>
        <v>纯电动车</v>
      </c>
      <c r="B102" s="36"/>
      <c r="C102" s="37"/>
      <c r="D102" s="37"/>
      <c r="E102" s="37" t="str">
        <f>'fuel summary'!E143</f>
        <v>原料开采处理</v>
      </c>
      <c r="F102" s="37" t="str">
        <f>'fuel summary'!F143</f>
        <v>原料运输</v>
      </c>
      <c r="G102" s="37" t="str">
        <f>'fuel summary'!G143</f>
        <v>燃料制备与燃烧</v>
      </c>
      <c r="H102" s="664" t="s">
        <v>1082</v>
      </c>
      <c r="I102" s="664" t="s">
        <v>1083</v>
      </c>
      <c r="J102" s="38" t="str">
        <f>'fuel summary'!I143</f>
        <v>合计</v>
      </c>
    </row>
    <row r="103" spans="1:10">
      <c r="A103" t="str">
        <f>'fuel summary'!B142</f>
        <v>煤电分阶段</v>
      </c>
      <c r="B103" s="39" t="str">
        <f t="shared" ref="B103:D103" si="52">B91</f>
        <v>LCA-Coal</v>
      </c>
      <c r="C103" s="35" t="str">
        <f t="shared" si="52"/>
        <v>煤炭</v>
      </c>
      <c r="D103" s="35" t="str">
        <f t="shared" si="52"/>
        <v>MJ/km</v>
      </c>
      <c r="E103" s="415">
        <f>'fuel summary'!E144*'vehicle summary'!$H$9</f>
        <v>0.20917841936251572</v>
      </c>
      <c r="F103" s="415">
        <f>'fuel summary'!F144*'vehicle summary'!$H$9</f>
        <v>6.9999174105518751E-3</v>
      </c>
      <c r="G103" s="415">
        <f>'fuel summary'!G144*'vehicle summary'!$H$9</f>
        <v>2.9778597491280947</v>
      </c>
      <c r="H103" s="415">
        <f>'fuel summary'!H144*'vehicle summary'!$H$9</f>
        <v>0</v>
      </c>
      <c r="I103" s="35">
        <v>0</v>
      </c>
      <c r="J103" s="408">
        <f>'fuel summary'!I144*'vehicle summary'!$H$9</f>
        <v>3.1940380859011626</v>
      </c>
    </row>
    <row r="104" spans="1:10">
      <c r="B104" s="39" t="str">
        <f t="shared" ref="B104:D104" si="53">B92</f>
        <v>LCA-NG</v>
      </c>
      <c r="C104" s="35" t="str">
        <f t="shared" si="53"/>
        <v>天然气</v>
      </c>
      <c r="D104" s="35" t="str">
        <f t="shared" si="53"/>
        <v>MJ/km</v>
      </c>
      <c r="E104" s="415">
        <f>'fuel summary'!E145*'vehicle summary'!$H$9</f>
        <v>6.2209821495061149E-3</v>
      </c>
      <c r="F104" s="415">
        <f>'fuel summary'!F145*'vehicle summary'!$H$9</f>
        <v>1.9040526069856072E-3</v>
      </c>
      <c r="G104" s="415">
        <f>'fuel summary'!G145*'vehicle summary'!$H$9</f>
        <v>0</v>
      </c>
      <c r="H104" s="415">
        <f>'fuel summary'!H145*'vehicle summary'!$H$9</f>
        <v>0</v>
      </c>
      <c r="I104" s="35">
        <v>0</v>
      </c>
      <c r="J104" s="408">
        <f>'fuel summary'!I145*'vehicle summary'!$H$9</f>
        <v>8.1250347564917232E-3</v>
      </c>
    </row>
    <row r="105" spans="1:10">
      <c r="B105" s="39" t="str">
        <f t="shared" ref="B105:D105" si="54">B93</f>
        <v>LCA-Oil</v>
      </c>
      <c r="C105" s="35" t="str">
        <f t="shared" si="54"/>
        <v>石油</v>
      </c>
      <c r="D105" s="35" t="str">
        <f t="shared" si="54"/>
        <v>MJ/km</v>
      </c>
      <c r="E105" s="415">
        <f>'fuel summary'!E146*'vehicle summary'!$H$9</f>
        <v>8.1677553871677307E-3</v>
      </c>
      <c r="F105" s="415">
        <f>'fuel summary'!F146*'vehicle summary'!$H$9</f>
        <v>3.5752407847673522E-2</v>
      </c>
      <c r="G105" s="415">
        <f>'fuel summary'!G146*'vehicle summary'!$H$9</f>
        <v>0</v>
      </c>
      <c r="H105" s="415">
        <f>'fuel summary'!H146*'vehicle summary'!$H$9</f>
        <v>0</v>
      </c>
      <c r="I105" s="35">
        <v>0</v>
      </c>
      <c r="J105" s="408">
        <f>'fuel summary'!I146*'vehicle summary'!$H$9</f>
        <v>4.3920163234841249E-2</v>
      </c>
    </row>
    <row r="106" spans="1:10">
      <c r="B106" s="39" t="str">
        <f t="shared" ref="B106:D106" si="55">B94</f>
        <v>LCA-PE</v>
      </c>
      <c r="C106" s="35" t="str">
        <f t="shared" si="55"/>
        <v>一次能源总计</v>
      </c>
      <c r="D106" s="35" t="str">
        <f t="shared" si="55"/>
        <v>MJ/km</v>
      </c>
      <c r="E106" s="415">
        <f>'fuel summary'!E147*'vehicle summary'!$H$9</f>
        <v>0.22356715689918957</v>
      </c>
      <c r="F106" s="415">
        <f>'fuel summary'!F147*'vehicle summary'!$H$9</f>
        <v>4.4656377865210997E-2</v>
      </c>
      <c r="G106" s="415">
        <f>'fuel summary'!G147*'vehicle summary'!$H$9</f>
        <v>2.9778597491280947</v>
      </c>
      <c r="H106" s="415">
        <f>'fuel summary'!H147*'vehicle summary'!$H$9</f>
        <v>0</v>
      </c>
      <c r="I106" s="360">
        <v>0</v>
      </c>
      <c r="J106" s="408">
        <f>'fuel summary'!I147*'vehicle summary'!$H$9</f>
        <v>3.2460832838924953</v>
      </c>
    </row>
    <row r="107" spans="1:10">
      <c r="B107" s="39"/>
      <c r="C107" s="35"/>
      <c r="D107" s="35"/>
      <c r="E107" s="415"/>
      <c r="F107" s="415"/>
      <c r="G107" s="415"/>
      <c r="H107" s="415"/>
      <c r="I107" s="35"/>
      <c r="J107" s="408"/>
    </row>
    <row r="108" spans="1:10">
      <c r="B108" s="39" t="str">
        <f t="shared" ref="B108:D108" si="56">B96</f>
        <v>LCA-CO2</v>
      </c>
      <c r="C108" s="35" t="str">
        <f t="shared" si="56"/>
        <v>二氧化碳</v>
      </c>
      <c r="D108" s="35" t="str">
        <f t="shared" si="56"/>
        <v>g/km</v>
      </c>
      <c r="E108" s="415">
        <f>'fuel summary'!E149*'vehicle summary'!$H$9</f>
        <v>18.025963892008722</v>
      </c>
      <c r="F108" s="415">
        <f>'fuel summary'!F149*'vehicle summary'!$H$9</f>
        <v>3.2682966497090633</v>
      </c>
      <c r="G108" s="415">
        <f>'fuel summary'!G149*'vehicle summary'!$H$9</f>
        <v>243.1184256383159</v>
      </c>
      <c r="H108" s="415">
        <f>'fuel summary'!H149*'vehicle summary'!$H$9</f>
        <v>0</v>
      </c>
      <c r="I108" s="360">
        <v>0</v>
      </c>
      <c r="J108" s="408">
        <f>'fuel summary'!I149*'vehicle summary'!$H$9</f>
        <v>264.41268618003369</v>
      </c>
    </row>
    <row r="109" spans="1:10">
      <c r="B109" s="39" t="str">
        <f t="shared" ref="B109:D109" si="57">B97</f>
        <v>LCA-CH4</v>
      </c>
      <c r="C109" s="35" t="str">
        <f t="shared" si="57"/>
        <v>甲烷</v>
      </c>
      <c r="D109" s="35" t="str">
        <f t="shared" si="57"/>
        <v>g/km</v>
      </c>
      <c r="E109" s="415">
        <f>'fuel summary'!E150*'vehicle summary'!$H$9</f>
        <v>1.2947097446534681</v>
      </c>
      <c r="F109" s="415">
        <f>'fuel summary'!F150*'vehicle summary'!$H$9</f>
        <v>3.6443947235105826E-3</v>
      </c>
      <c r="G109" s="415">
        <f>'fuel summary'!G150*'vehicle summary'!$H$9</f>
        <v>2.9778597491280949E-3</v>
      </c>
      <c r="H109" s="415">
        <f>'fuel summary'!H150*'vehicle summary'!$H$9</f>
        <v>0</v>
      </c>
      <c r="I109" s="360">
        <v>0</v>
      </c>
      <c r="J109" s="408">
        <f>'fuel summary'!I150*'vehicle summary'!$H$9</f>
        <v>1.301331999126107</v>
      </c>
    </row>
    <row r="110" spans="1:10">
      <c r="B110" s="39" t="str">
        <f t="shared" ref="B110:D110" si="58">B98</f>
        <v>LCA-N2O</v>
      </c>
      <c r="C110" s="35" t="str">
        <f t="shared" si="58"/>
        <v>氧化二氮</v>
      </c>
      <c r="D110" s="35" t="str">
        <f t="shared" si="58"/>
        <v>mg/km</v>
      </c>
      <c r="E110" s="415">
        <f>'fuel summary'!E151*'vehicle summary'!$H$9</f>
        <v>3.9046145739514768E-4</v>
      </c>
      <c r="F110" s="415">
        <f>'fuel summary'!F151*'vehicle summary'!$H$9</f>
        <v>7.4818693737528446E-4</v>
      </c>
      <c r="G110" s="415">
        <f>'fuel summary'!G151*'vehicle summary'!$H$9</f>
        <v>2.9778597491280949E-3</v>
      </c>
      <c r="H110" s="415">
        <f>'fuel summary'!H151*'vehicle summary'!$H$9</f>
        <v>0</v>
      </c>
      <c r="I110" s="360">
        <v>0</v>
      </c>
      <c r="J110" s="408">
        <f>'fuel summary'!I151*'vehicle summary'!$H$9</f>
        <v>4.1165081438985264E-3</v>
      </c>
    </row>
    <row r="111" spans="1:10" ht="15" thickBot="1">
      <c r="B111" s="41" t="str">
        <f t="shared" ref="B111:D111" si="59">B99</f>
        <v>LCA-GHG</v>
      </c>
      <c r="C111" s="42" t="str">
        <f t="shared" si="59"/>
        <v>GHG合计</v>
      </c>
      <c r="D111" s="42" t="str">
        <f t="shared" si="59"/>
        <v>g/km</v>
      </c>
      <c r="E111" s="706">
        <f>'fuel summary'!E152*'vehicle summary'!$H$9</f>
        <v>50.39382386585973</v>
      </c>
      <c r="F111" s="706">
        <f>'fuel summary'!F152*'vehicle summary'!$H$9</f>
        <v>3.3596294775041655</v>
      </c>
      <c r="G111" s="706">
        <f>'fuel summary'!G152*'vehicle summary'!$H$9</f>
        <v>243.19375953424932</v>
      </c>
      <c r="H111" s="706">
        <f>'fuel summary'!H152*'vehicle summary'!$H$9</f>
        <v>0</v>
      </c>
      <c r="I111" s="42">
        <v>0</v>
      </c>
      <c r="J111" s="413">
        <f>'fuel summary'!I152*'vehicle summary'!$H$9</f>
        <v>296.94721287761325</v>
      </c>
    </row>
    <row r="112" spans="1:10">
      <c r="D112"/>
      <c r="E112"/>
    </row>
    <row r="113" spans="1:10" ht="15" thickBot="1">
      <c r="D113"/>
      <c r="E113"/>
    </row>
    <row r="114" spans="1:10">
      <c r="A114" t="str">
        <f>A102</f>
        <v>纯电动车</v>
      </c>
      <c r="B114" s="36"/>
      <c r="C114" s="37"/>
      <c r="D114" s="37"/>
      <c r="E114" s="37" t="str">
        <f>'fuel summary'!E155</f>
        <v>原料开采处理</v>
      </c>
      <c r="F114" s="37" t="str">
        <f>'fuel summary'!F155</f>
        <v>原料运输</v>
      </c>
      <c r="G114" s="37" t="str">
        <f>'fuel summary'!G155</f>
        <v>燃料制备与燃烧</v>
      </c>
      <c r="H114" s="664" t="s">
        <v>1082</v>
      </c>
      <c r="I114" s="664" t="s">
        <v>1083</v>
      </c>
      <c r="J114" s="38" t="str">
        <f>'fuel summary'!I155</f>
        <v>合计</v>
      </c>
    </row>
    <row r="115" spans="1:10">
      <c r="A115" t="str">
        <f>'fuel summary'!B154</f>
        <v>气电分阶段</v>
      </c>
      <c r="B115" s="39" t="str">
        <f t="shared" ref="B115:D115" si="60">B103</f>
        <v>LCA-Coal</v>
      </c>
      <c r="C115" s="35" t="str">
        <f t="shared" si="60"/>
        <v>煤炭</v>
      </c>
      <c r="D115" s="35" t="str">
        <f t="shared" si="60"/>
        <v>MJ/km</v>
      </c>
      <c r="E115" s="415">
        <f>'fuel summary'!E156*'vehicle summary'!$H$9</f>
        <v>1.1610642019728367E-2</v>
      </c>
      <c r="F115" s="415">
        <f>'fuel summary'!F156*'vehicle summary'!$H$9</f>
        <v>7.7805509996001611E-3</v>
      </c>
      <c r="G115" s="415">
        <f>'fuel summary'!G156*'vehicle summary'!$H$9</f>
        <v>0</v>
      </c>
      <c r="H115" s="415">
        <f>'fuel summary'!H156*'vehicle summary'!$H$9</f>
        <v>0</v>
      </c>
      <c r="I115" s="35">
        <v>0</v>
      </c>
      <c r="J115" s="408">
        <f>'fuel summary'!I156*'vehicle summary'!$H$9</f>
        <v>1.9391193019328526E-2</v>
      </c>
    </row>
    <row r="116" spans="1:10">
      <c r="B116" s="39" t="str">
        <f t="shared" ref="B116:D116" si="61">B104</f>
        <v>LCA-NG</v>
      </c>
      <c r="C116" s="35" t="str">
        <f t="shared" si="61"/>
        <v>天然气</v>
      </c>
      <c r="D116" s="35" t="str">
        <f t="shared" si="61"/>
        <v>MJ/km</v>
      </c>
      <c r="E116" s="415">
        <f>'fuel summary'!E157*'vehicle summary'!$H$9</f>
        <v>0.27023363693249763</v>
      </c>
      <c r="F116" s="415">
        <f>'fuel summary'!F157*'vehicle summary'!$H$9</f>
        <v>2.6822614875187379E-2</v>
      </c>
      <c r="G116" s="415">
        <f>'fuel summary'!G157*'vehicle summary'!$H$9</f>
        <v>2.3615271213129114</v>
      </c>
      <c r="H116" s="415">
        <f>'fuel summary'!H157*'vehicle summary'!$H$9</f>
        <v>0</v>
      </c>
      <c r="I116" s="35">
        <v>0</v>
      </c>
      <c r="J116" s="408">
        <f>'fuel summary'!I157*'vehicle summary'!$H$9</f>
        <v>2.6585833731205963</v>
      </c>
    </row>
    <row r="117" spans="1:10">
      <c r="B117" s="39" t="str">
        <f t="shared" ref="B117:D117" si="62">B105</f>
        <v>LCA-Oil</v>
      </c>
      <c r="C117" s="35" t="str">
        <f t="shared" si="62"/>
        <v>石油</v>
      </c>
      <c r="D117" s="35" t="str">
        <f t="shared" si="62"/>
        <v>MJ/km</v>
      </c>
      <c r="E117" s="415">
        <f>'fuel summary'!E158*'vehicle summary'!$H$9</f>
        <v>1.2417364080612713E-2</v>
      </c>
      <c r="F117" s="415">
        <f>'fuel summary'!F158*'vehicle summary'!$H$9</f>
        <v>1.3967544478259496E-3</v>
      </c>
      <c r="G117" s="415">
        <f>'fuel summary'!G158*'vehicle summary'!$H$9</f>
        <v>0</v>
      </c>
      <c r="H117" s="415">
        <f>'fuel summary'!H158*'vehicle summary'!$H$9</f>
        <v>0</v>
      </c>
      <c r="I117" s="35">
        <v>0</v>
      </c>
      <c r="J117" s="408">
        <f>'fuel summary'!I158*'vehicle summary'!$H$9</f>
        <v>1.3814118528438663E-2</v>
      </c>
    </row>
    <row r="118" spans="1:10">
      <c r="B118" s="39" t="str">
        <f t="shared" ref="B118:D118" si="63">B106</f>
        <v>LCA-PE</v>
      </c>
      <c r="C118" s="35" t="str">
        <f t="shared" si="63"/>
        <v>一次能源总计</v>
      </c>
      <c r="D118" s="35" t="str">
        <f t="shared" si="63"/>
        <v>MJ/km</v>
      </c>
      <c r="E118" s="415">
        <f>'fuel summary'!E159*'vehicle summary'!$H$9</f>
        <v>0.29426164303283875</v>
      </c>
      <c r="F118" s="415">
        <f>'fuel summary'!F159*'vehicle summary'!$H$9</f>
        <v>3.5999920322613489E-2</v>
      </c>
      <c r="G118" s="415">
        <f>'fuel summary'!G159*'vehicle summary'!$H$9</f>
        <v>2.3615271213129114</v>
      </c>
      <c r="H118" s="415">
        <f>'fuel summary'!H159*'vehicle summary'!$H$9</f>
        <v>0</v>
      </c>
      <c r="I118" s="360">
        <v>0</v>
      </c>
      <c r="J118" s="408">
        <f>'fuel summary'!I159*'vehicle summary'!$H$9</f>
        <v>2.6917886846683632</v>
      </c>
    </row>
    <row r="119" spans="1:10">
      <c r="B119" s="39"/>
      <c r="C119" s="35"/>
      <c r="D119" s="35"/>
      <c r="E119" s="415"/>
      <c r="F119" s="415"/>
      <c r="G119" s="415"/>
      <c r="H119" s="415"/>
      <c r="I119" s="35"/>
      <c r="J119" s="408"/>
    </row>
    <row r="120" spans="1:10">
      <c r="B120" s="39" t="str">
        <f t="shared" ref="B120:D120" si="64">B108</f>
        <v>LCA-CO2</v>
      </c>
      <c r="C120" s="35" t="str">
        <f t="shared" si="64"/>
        <v>二氧化碳</v>
      </c>
      <c r="D120" s="35" t="str">
        <f t="shared" si="64"/>
        <v>g/km</v>
      </c>
      <c r="E120" s="415">
        <f>'fuel summary'!E161*'vehicle summary'!$H$9</f>
        <v>17.224921987463205</v>
      </c>
      <c r="F120" s="415">
        <f>'fuel summary'!F161*'vehicle summary'!$H$9</f>
        <v>2.2629520817539981</v>
      </c>
      <c r="G120" s="415">
        <f>'fuel summary'!G161*'vehicle summary'!$H$9</f>
        <v>133.23993424903668</v>
      </c>
      <c r="H120" s="415">
        <f>'fuel summary'!H161*'vehicle summary'!$H$9</f>
        <v>0</v>
      </c>
      <c r="I120" s="360">
        <v>0</v>
      </c>
      <c r="J120" s="408">
        <f>'fuel summary'!I161*'vehicle summary'!$H$9</f>
        <v>152.72780831825386</v>
      </c>
    </row>
    <row r="121" spans="1:10">
      <c r="B121" s="39" t="str">
        <f t="shared" ref="B121:D121" si="65">B109</f>
        <v>LCA-CH4</v>
      </c>
      <c r="C121" s="35" t="str">
        <f t="shared" si="65"/>
        <v>甲烷</v>
      </c>
      <c r="D121" s="35" t="str">
        <f t="shared" si="65"/>
        <v>g/km</v>
      </c>
      <c r="E121" s="415">
        <f>'fuel summary'!E162*'vehicle summary'!$H$9</f>
        <v>0.19464927324695896</v>
      </c>
      <c r="F121" s="415">
        <f>'fuel summary'!F162*'vehicle summary'!$H$9</f>
        <v>5.1436823533140604E-3</v>
      </c>
      <c r="G121" s="415">
        <f>'fuel summary'!G162*'vehicle summary'!$H$9</f>
        <v>0</v>
      </c>
      <c r="H121" s="415">
        <f>'fuel summary'!H162*'vehicle summary'!$H$9</f>
        <v>0</v>
      </c>
      <c r="I121" s="360">
        <v>0</v>
      </c>
      <c r="J121" s="408">
        <f>'fuel summary'!I162*'vehicle summary'!$H$9</f>
        <v>0.19979295560027305</v>
      </c>
    </row>
    <row r="122" spans="1:10">
      <c r="B122" s="39" t="str">
        <f t="shared" ref="B122:D122" si="66">B110</f>
        <v>LCA-N2O</v>
      </c>
      <c r="C122" s="35" t="str">
        <f t="shared" si="66"/>
        <v>氧化二氮</v>
      </c>
      <c r="D122" s="35" t="str">
        <f t="shared" si="66"/>
        <v>mg/km</v>
      </c>
      <c r="E122" s="415">
        <f>'fuel summary'!E163*'vehicle summary'!$H$9</f>
        <v>3.619228962475607E-7</v>
      </c>
      <c r="F122" s="415">
        <f>'fuel summary'!F163*'vehicle summary'!$H$9</f>
        <v>4.4460182889451174E-8</v>
      </c>
      <c r="G122" s="415">
        <f>'fuel summary'!G163*'vehicle summary'!$H$9</f>
        <v>0</v>
      </c>
      <c r="H122" s="415">
        <f>'fuel summary'!H163*'vehicle summary'!$H$9</f>
        <v>0</v>
      </c>
      <c r="I122" s="360">
        <v>0</v>
      </c>
      <c r="J122" s="408">
        <f>'fuel summary'!I163*'vehicle summary'!$H$9</f>
        <v>4.0638307913701188E-7</v>
      </c>
    </row>
    <row r="123" spans="1:10" ht="15" thickBot="1">
      <c r="B123" s="41" t="str">
        <f t="shared" ref="B123:D123" si="67">B111</f>
        <v>LCA-GHG</v>
      </c>
      <c r="C123" s="42" t="str">
        <f t="shared" si="67"/>
        <v>GHG合计</v>
      </c>
      <c r="D123" s="42" t="str">
        <f t="shared" si="67"/>
        <v>g/km</v>
      </c>
      <c r="E123" s="706">
        <f>'fuel summary'!E164*'vehicle summary'!$H$9</f>
        <v>22.091153926490204</v>
      </c>
      <c r="F123" s="706">
        <f>'fuel summary'!F164*'vehicle summary'!$H$9</f>
        <v>2.3915441538359841</v>
      </c>
      <c r="G123" s="706">
        <f>'fuel summary'!G164*'vehicle summary'!$H$9</f>
        <v>133.23993424903668</v>
      </c>
      <c r="H123" s="706">
        <f>'fuel summary'!H164*'vehicle summary'!$H$9</f>
        <v>0</v>
      </c>
      <c r="I123" s="42">
        <v>0</v>
      </c>
      <c r="J123" s="413">
        <f>'fuel summary'!I164*'vehicle summary'!$H$9</f>
        <v>157.72263232936282</v>
      </c>
    </row>
    <row r="124" spans="1:10">
      <c r="D124"/>
      <c r="E124"/>
    </row>
    <row r="125" spans="1:10" ht="15" thickBot="1">
      <c r="D125"/>
      <c r="E125"/>
    </row>
    <row r="126" spans="1:10">
      <c r="A126" t="str">
        <f>A114</f>
        <v>纯电动车</v>
      </c>
      <c r="B126" s="36"/>
      <c r="C126" s="37"/>
      <c r="D126" s="37"/>
      <c r="E126" s="37" t="str">
        <f>'fuel summary'!E167</f>
        <v>原料开采处理</v>
      </c>
      <c r="F126" s="37" t="str">
        <f>'fuel summary'!F167</f>
        <v>原料运输</v>
      </c>
      <c r="G126" s="37" t="str">
        <f>'fuel summary'!G167</f>
        <v>燃料制备与燃烧</v>
      </c>
      <c r="H126" s="664" t="s">
        <v>1082</v>
      </c>
      <c r="I126" s="664" t="s">
        <v>1083</v>
      </c>
      <c r="J126" s="38" t="str">
        <f>'fuel summary'!I167</f>
        <v>合计</v>
      </c>
    </row>
    <row r="127" spans="1:10">
      <c r="A127" t="str">
        <f>'fuel summary'!B166</f>
        <v>油电分阶段</v>
      </c>
      <c r="B127" s="39" t="str">
        <f t="shared" ref="B127:D127" si="68">B115</f>
        <v>LCA-Coal</v>
      </c>
      <c r="C127" s="35" t="str">
        <f t="shared" si="68"/>
        <v>煤炭</v>
      </c>
      <c r="D127" s="35" t="str">
        <f t="shared" si="68"/>
        <v>MJ/km</v>
      </c>
      <c r="E127" s="415">
        <f>'fuel summary'!E168*'vehicle summary'!$H$9</f>
        <v>0.11628017987759871</v>
      </c>
      <c r="F127" s="415">
        <f>'fuel summary'!F168*'vehicle summary'!$H$9</f>
        <v>2.3486104985336504E-2</v>
      </c>
      <c r="G127" s="415">
        <f>'fuel summary'!G168*'vehicle summary'!$H$9</f>
        <v>6.4590160311592162E-2</v>
      </c>
      <c r="H127" s="415">
        <f>'fuel summary'!H168*'vehicle summary'!$H$9</f>
        <v>0</v>
      </c>
      <c r="I127" s="35">
        <v>0</v>
      </c>
      <c r="J127" s="408">
        <f>'fuel summary'!I168*'vehicle summary'!$H$9</f>
        <v>0.20435644517452739</v>
      </c>
    </row>
    <row r="128" spans="1:10">
      <c r="B128" s="39" t="str">
        <f t="shared" ref="B128:D128" si="69">B116</f>
        <v>LCA-NG</v>
      </c>
      <c r="C128" s="35" t="str">
        <f t="shared" si="69"/>
        <v>天然气</v>
      </c>
      <c r="D128" s="35" t="str">
        <f t="shared" si="69"/>
        <v>MJ/km</v>
      </c>
      <c r="E128" s="415">
        <f>'fuel summary'!E169*'vehicle summary'!$H$9</f>
        <v>0.13848984184401106</v>
      </c>
      <c r="F128" s="415">
        <f>'fuel summary'!F169*'vehicle summary'!$H$9</f>
        <v>2.9275048965078103E-3</v>
      </c>
      <c r="G128" s="415">
        <f>'fuel summary'!G169*'vehicle summary'!$H$9</f>
        <v>1.8378209895571436E-2</v>
      </c>
      <c r="H128" s="415">
        <f>'fuel summary'!H169*'vehicle summary'!$H$9</f>
        <v>0</v>
      </c>
      <c r="I128" s="35">
        <v>0</v>
      </c>
      <c r="J128" s="408">
        <f>'fuel summary'!I169*'vehicle summary'!$H$9</f>
        <v>0.1597955566360903</v>
      </c>
    </row>
    <row r="129" spans="1:10">
      <c r="B129" s="39" t="str">
        <f t="shared" ref="B129:D129" si="70">B117</f>
        <v>LCA-Oil</v>
      </c>
      <c r="C129" s="35" t="str">
        <f t="shared" si="70"/>
        <v>石油</v>
      </c>
      <c r="D129" s="35" t="str">
        <f t="shared" si="70"/>
        <v>MJ/km</v>
      </c>
      <c r="E129" s="415">
        <f>'fuel summary'!E170*'vehicle summary'!$H$9</f>
        <v>0.12461854858037992</v>
      </c>
      <c r="F129" s="415">
        <f>'fuel summary'!F170*'vehicle summary'!$H$9</f>
        <v>3.0779399291482625E-2</v>
      </c>
      <c r="G129" s="415">
        <f>'fuel summary'!G170*'vehicle summary'!$H$9</f>
        <v>3.5881639013450295</v>
      </c>
      <c r="H129" s="415">
        <f>'fuel summary'!H170*'vehicle summary'!$H$9</f>
        <v>0</v>
      </c>
      <c r="I129" s="35">
        <v>0</v>
      </c>
      <c r="J129" s="408">
        <f>'fuel summary'!I170*'vehicle summary'!$H$9</f>
        <v>3.7435618492168916</v>
      </c>
    </row>
    <row r="130" spans="1:10">
      <c r="B130" s="39" t="str">
        <f t="shared" ref="B130:D130" si="71">B118</f>
        <v>LCA-PE</v>
      </c>
      <c r="C130" s="35" t="str">
        <f t="shared" si="71"/>
        <v>一次能源总计</v>
      </c>
      <c r="D130" s="35" t="str">
        <f t="shared" si="71"/>
        <v>MJ/km</v>
      </c>
      <c r="E130" s="415">
        <f>'fuel summary'!E171*'vehicle summary'!$H$9</f>
        <v>0.37938857030198969</v>
      </c>
      <c r="F130" s="415">
        <f>'fuel summary'!F171*'vehicle summary'!$H$9</f>
        <v>5.7193009173326939E-2</v>
      </c>
      <c r="G130" s="415">
        <f>'fuel summary'!G171*'vehicle summary'!$H$9</f>
        <v>3.6711322715521932</v>
      </c>
      <c r="H130" s="415">
        <f>'fuel summary'!H171*'vehicle summary'!$H$9</f>
        <v>0</v>
      </c>
      <c r="I130" s="360">
        <v>0</v>
      </c>
      <c r="J130" s="408">
        <f>'fuel summary'!I171*'vehicle summary'!$H$9</f>
        <v>4.1077138510275093</v>
      </c>
    </row>
    <row r="131" spans="1:10">
      <c r="B131" s="39"/>
      <c r="C131" s="35"/>
      <c r="D131" s="35"/>
      <c r="E131" s="415"/>
      <c r="F131" s="415"/>
      <c r="G131" s="415"/>
      <c r="H131" s="415"/>
      <c r="I131" s="35"/>
      <c r="J131" s="408"/>
    </row>
    <row r="132" spans="1:10">
      <c r="B132" s="39" t="str">
        <f t="shared" ref="B132:D132" si="72">B120</f>
        <v>LCA-CO2</v>
      </c>
      <c r="C132" s="35" t="str">
        <f t="shared" si="72"/>
        <v>二氧化碳</v>
      </c>
      <c r="D132" s="35" t="str">
        <f t="shared" si="72"/>
        <v>g/km</v>
      </c>
      <c r="E132" s="415">
        <f>'fuel summary'!E173*'vehicle summary'!$H$9</f>
        <v>26.178599448500929</v>
      </c>
      <c r="F132" s="415">
        <f>'fuel summary'!F173*'vehicle summary'!$H$9</f>
        <v>4.4017420749764655</v>
      </c>
      <c r="G132" s="415">
        <f>'fuel summary'!G173*'vehicle summary'!$H$9</f>
        <v>277.63748411108958</v>
      </c>
      <c r="H132" s="415">
        <f>'fuel summary'!H173*'vehicle summary'!$H$9</f>
        <v>0</v>
      </c>
      <c r="I132" s="360">
        <v>0</v>
      </c>
      <c r="J132" s="408">
        <f>'fuel summary'!I173*'vehicle summary'!$H$9</f>
        <v>308.21782563456696</v>
      </c>
    </row>
    <row r="133" spans="1:10">
      <c r="B133" s="39" t="str">
        <f t="shared" ref="B133:D133" si="73">B121</f>
        <v>LCA-CH4</v>
      </c>
      <c r="C133" s="35" t="str">
        <f t="shared" si="73"/>
        <v>甲烷</v>
      </c>
      <c r="D133" s="35" t="str">
        <f t="shared" si="73"/>
        <v>g/km</v>
      </c>
      <c r="E133" s="415">
        <f>'fuel summary'!E174*'vehicle summary'!$H$9</f>
        <v>9.2543883028334065E-2</v>
      </c>
      <c r="F133" s="415">
        <f>'fuel summary'!F174*'vehicle summary'!$H$9</f>
        <v>1.0118647004210155E-2</v>
      </c>
      <c r="G133" s="415">
        <f>'fuel summary'!G174*'vehicle summary'!$H$9</f>
        <v>3.6716844491459351E-2</v>
      </c>
      <c r="H133" s="415">
        <f>'fuel summary'!H174*'vehicle summary'!$H$9</f>
        <v>0</v>
      </c>
      <c r="I133" s="360">
        <v>0</v>
      </c>
      <c r="J133" s="408">
        <f>'fuel summary'!I174*'vehicle summary'!$H$9</f>
        <v>0.13937937452400356</v>
      </c>
    </row>
    <row r="134" spans="1:10">
      <c r="B134" s="39" t="str">
        <f t="shared" ref="B134:D134" si="74">B122</f>
        <v>LCA-N2O</v>
      </c>
      <c r="C134" s="35" t="str">
        <f t="shared" si="74"/>
        <v>氧化二氮</v>
      </c>
      <c r="D134" s="35" t="str">
        <f t="shared" si="74"/>
        <v>mg/km</v>
      </c>
      <c r="E134" s="415">
        <f>'fuel summary'!E175*'vehicle summary'!$H$9</f>
        <v>1.0583935881524826E-3</v>
      </c>
      <c r="F134" s="415">
        <f>'fuel summary'!F175*'vehicle summary'!$H$9</f>
        <v>7.1121619361081288E-5</v>
      </c>
      <c r="G134" s="415">
        <f>'fuel summary'!G175*'vehicle summary'!$H$9</f>
        <v>2.1103933651791368E-4</v>
      </c>
      <c r="H134" s="415">
        <f>'fuel summary'!H175*'vehicle summary'!$H$9</f>
        <v>0</v>
      </c>
      <c r="I134" s="360">
        <v>0</v>
      </c>
      <c r="J134" s="408">
        <f>'fuel summary'!I175*'vehicle summary'!$H$9</f>
        <v>1.3405545440314775E-3</v>
      </c>
    </row>
    <row r="135" spans="1:10" ht="15" thickBot="1">
      <c r="B135" s="41" t="str">
        <f t="shared" ref="B135:D135" si="75">B123</f>
        <v>LCA-GHG</v>
      </c>
      <c r="C135" s="42" t="str">
        <f t="shared" si="75"/>
        <v>GHG合计</v>
      </c>
      <c r="D135" s="42" t="str">
        <f t="shared" si="75"/>
        <v>g/km</v>
      </c>
      <c r="E135" s="706">
        <f>'fuel summary'!E176*'vehicle summary'!$H$9</f>
        <v>28.492511925498551</v>
      </c>
      <c r="F135" s="706">
        <f>'fuel summary'!F176*'vehicle summary'!$H$9</f>
        <v>4.654729444324289</v>
      </c>
      <c r="G135" s="706">
        <f>'fuel summary'!G176*'vehicle summary'!$H$9</f>
        <v>278.5554681130983</v>
      </c>
      <c r="H135" s="706">
        <f>'fuel summary'!H176*'vehicle summary'!$H$9</f>
        <v>0</v>
      </c>
      <c r="I135" s="42">
        <v>0</v>
      </c>
      <c r="J135" s="413">
        <f>'fuel summary'!I176*'vehicle summary'!$H$9</f>
        <v>311.70270948292119</v>
      </c>
    </row>
    <row r="136" spans="1:10">
      <c r="D136"/>
      <c r="E136"/>
    </row>
    <row r="137" spans="1:10" ht="15" thickBot="1">
      <c r="D137"/>
      <c r="E137"/>
    </row>
    <row r="138" spans="1:10">
      <c r="A138" t="str">
        <f>A114</f>
        <v>纯电动车</v>
      </c>
      <c r="B138" s="36"/>
      <c r="C138" s="37"/>
      <c r="D138" s="37"/>
      <c r="E138" s="37" t="str">
        <f>'fuel summary'!E179</f>
        <v>原料开采处理</v>
      </c>
      <c r="F138" s="37" t="str">
        <f>'fuel summary'!F179</f>
        <v>原料运输</v>
      </c>
      <c r="G138" s="37" t="str">
        <f>'fuel summary'!G179</f>
        <v>燃料制备与燃烧</v>
      </c>
      <c r="H138" s="664" t="s">
        <v>1082</v>
      </c>
      <c r="I138" s="664" t="s">
        <v>1083</v>
      </c>
      <c r="J138" s="38" t="str">
        <f>'fuel summary'!I179</f>
        <v>合计</v>
      </c>
    </row>
    <row r="139" spans="1:10">
      <c r="A139" t="str">
        <f>'fuel summary'!B178</f>
        <v>网电分阶段</v>
      </c>
      <c r="B139" s="39" t="str">
        <f t="shared" ref="B139:D139" si="76">B127</f>
        <v>LCA-Coal</v>
      </c>
      <c r="C139" s="35" t="str">
        <f t="shared" si="76"/>
        <v>煤炭</v>
      </c>
      <c r="D139" s="35" t="str">
        <f t="shared" si="76"/>
        <v>MJ/km</v>
      </c>
      <c r="E139" s="415">
        <f>'fuel summary'!E180*'vehicle summary'!$H$9</f>
        <v>0.16972623164130998</v>
      </c>
      <c r="F139" s="415">
        <f>'fuel summary'!F180*'vehicle summary'!$H$9</f>
        <v>6.0841475925853105E-3</v>
      </c>
      <c r="G139" s="415">
        <f>'fuel summary'!G180*'vehicle summary'!$H$9</f>
        <v>2.2639748312647789</v>
      </c>
      <c r="H139" s="415">
        <f>'fuel summary'!H180*'vehicle summary'!$H$9</f>
        <v>0</v>
      </c>
      <c r="I139" s="35">
        <v>0</v>
      </c>
      <c r="J139" s="408">
        <f>'fuel summary'!I180*'vehicle summary'!$H$9</f>
        <v>2.4397852104986746</v>
      </c>
    </row>
    <row r="140" spans="1:10">
      <c r="B140" s="39" t="str">
        <f t="shared" ref="B140:D140" si="77">B128</f>
        <v>LCA-NG</v>
      </c>
      <c r="C140" s="35" t="str">
        <f t="shared" si="77"/>
        <v>天然气</v>
      </c>
      <c r="D140" s="35" t="str">
        <f t="shared" si="77"/>
        <v>MJ/km</v>
      </c>
      <c r="E140" s="415">
        <f>'fuel summary'!E181*'vehicle summary'!$H$9</f>
        <v>9.3674593134740799E-3</v>
      </c>
      <c r="F140" s="415">
        <f>'fuel summary'!F181*'vehicle summary'!$H$9</f>
        <v>1.7655995304589236E-3</v>
      </c>
      <c r="G140" s="415">
        <f>'fuel summary'!G181*'vehicle summary'!$H$9</f>
        <v>0.1785693940639243</v>
      </c>
      <c r="H140" s="415">
        <f>'fuel summary'!H181*'vehicle summary'!$H$9</f>
        <v>0</v>
      </c>
      <c r="I140" s="35">
        <v>0</v>
      </c>
      <c r="J140" s="408">
        <f>'fuel summary'!I181*'vehicle summary'!$H$9</f>
        <v>0.18970245290785734</v>
      </c>
    </row>
    <row r="141" spans="1:10">
      <c r="B141" s="39" t="str">
        <f t="shared" ref="B141:D141" si="78">B129</f>
        <v>LCA-Oil</v>
      </c>
      <c r="C141" s="35" t="str">
        <f t="shared" si="78"/>
        <v>石油</v>
      </c>
      <c r="D141" s="35" t="str">
        <f t="shared" si="78"/>
        <v>MJ/km</v>
      </c>
      <c r="E141" s="415">
        <f>'fuel summary'!E182*'vehicle summary'!$H$9</f>
        <v>8.8724274881324776E-3</v>
      </c>
      <c r="F141" s="415">
        <f>'fuel summary'!F182*'vehicle summary'!$H$9</f>
        <v>2.9201485154367959E-2</v>
      </c>
      <c r="G141" s="415">
        <f>'fuel summary'!G182*'vehicle summary'!$H$9</f>
        <v>3.0898150572227258E-2</v>
      </c>
      <c r="H141" s="415">
        <f>'fuel summary'!H182*'vehicle summary'!$H$9</f>
        <v>0</v>
      </c>
      <c r="I141" s="35">
        <v>0</v>
      </c>
      <c r="J141" s="408">
        <f>'fuel summary'!I182*'vehicle summary'!$H$9</f>
        <v>6.8972063214727694E-2</v>
      </c>
    </row>
    <row r="142" spans="1:10">
      <c r="B142" s="39" t="str">
        <f t="shared" ref="B142:D142" si="79">B130</f>
        <v>LCA-PE</v>
      </c>
      <c r="C142" s="35" t="str">
        <f t="shared" si="79"/>
        <v>一次能源总计</v>
      </c>
      <c r="D142" s="35" t="str">
        <f t="shared" si="79"/>
        <v>MJ/km</v>
      </c>
      <c r="E142" s="415">
        <f>'fuel summary'!E183*'vehicle summary'!$H$9</f>
        <v>0.18796611844291655</v>
      </c>
      <c r="F142" s="415">
        <f>'fuel summary'!F183*'vehicle summary'!$H$9</f>
        <v>3.7051232277412194E-2</v>
      </c>
      <c r="G142" s="415">
        <f>'fuel summary'!G183*'vehicle summary'!$H$9</f>
        <v>2.4734423759009307</v>
      </c>
      <c r="H142" s="415">
        <f>'fuel summary'!H183*'vehicle summary'!$H$9</f>
        <v>0</v>
      </c>
      <c r="I142" s="360">
        <v>0</v>
      </c>
      <c r="J142" s="408">
        <f>'fuel summary'!I183*'vehicle summary'!$H$9</f>
        <v>2.6984597266212598</v>
      </c>
    </row>
    <row r="143" spans="1:10">
      <c r="B143" s="39"/>
      <c r="C143" s="35"/>
      <c r="D143" s="35"/>
      <c r="E143" s="415"/>
      <c r="F143" s="415"/>
      <c r="G143" s="415"/>
      <c r="H143" s="415"/>
      <c r="I143" s="35"/>
      <c r="J143" s="408"/>
    </row>
    <row r="144" spans="1:10">
      <c r="B144" s="39" t="str">
        <f t="shared" ref="B144:D144" si="80">B132</f>
        <v>LCA-CO2</v>
      </c>
      <c r="C144" s="35" t="str">
        <f t="shared" si="80"/>
        <v>二氧化碳</v>
      </c>
      <c r="D144" s="35" t="str">
        <f t="shared" si="80"/>
        <v>g/km</v>
      </c>
      <c r="E144" s="415">
        <f>'fuel summary'!E185*'vehicle summary'!$H$9</f>
        <v>15.030586321484247</v>
      </c>
      <c r="F144" s="415">
        <f>'fuel summary'!F185*'vehicle summary'!$H$9</f>
        <v>2.7129776383388142</v>
      </c>
      <c r="G144" s="415">
        <f>'fuel summary'!G185*'vehicle summary'!$H$9</f>
        <v>200.66801319003389</v>
      </c>
      <c r="H144" s="415">
        <f>'fuel summary'!H185*'vehicle summary'!$H$9</f>
        <v>0</v>
      </c>
      <c r="I144" s="360">
        <v>0</v>
      </c>
      <c r="J144" s="408">
        <f>'fuel summary'!I185*'vehicle summary'!$H$9</f>
        <v>215.06300500266681</v>
      </c>
    </row>
    <row r="145" spans="1:10">
      <c r="B145" s="39" t="str">
        <f t="shared" ref="B145:D145" si="81">B133</f>
        <v>LCA-CH4</v>
      </c>
      <c r="C145" s="35" t="str">
        <f t="shared" si="81"/>
        <v>甲烷</v>
      </c>
      <c r="D145" s="35" t="str">
        <f t="shared" si="81"/>
        <v>g/km</v>
      </c>
      <c r="E145" s="415">
        <f>'fuel summary'!E186*'vehicle summary'!$H$9</f>
        <v>1.0016540723535581</v>
      </c>
      <c r="F145" s="415">
        <f>'fuel summary'!F186*'vehicle summary'!$H$9</f>
        <v>3.1373015960809579E-3</v>
      </c>
      <c r="G145" s="415">
        <f>'fuel summary'!G186*'vehicle summary'!$H$9</f>
        <v>3.0461688598978718E-3</v>
      </c>
      <c r="H145" s="415">
        <f>'fuel summary'!H186*'vehicle summary'!$H$9</f>
        <v>0</v>
      </c>
      <c r="I145" s="360">
        <v>0</v>
      </c>
      <c r="J145" s="408">
        <f>'fuel summary'!I186*'vehicle summary'!$H$9</f>
        <v>1.007837542809537</v>
      </c>
    </row>
    <row r="146" spans="1:10">
      <c r="B146" s="39" t="str">
        <f t="shared" ref="B146:D146" si="82">B134</f>
        <v>LCA-N2O</v>
      </c>
      <c r="C146" s="35" t="str">
        <f t="shared" si="82"/>
        <v>氧化二氮</v>
      </c>
      <c r="D146" s="35" t="str">
        <f t="shared" si="82"/>
        <v>mg/km</v>
      </c>
      <c r="E146" s="415">
        <f>'fuel summary'!E187*'vehicle summary'!$H$9</f>
        <v>3.3181324542053169E-4</v>
      </c>
      <c r="F146" s="415">
        <f>'fuel summary'!F187*'vehicle summary'!$H$9</f>
        <v>6.0057823720738269E-4</v>
      </c>
      <c r="G146" s="415">
        <f>'fuel summary'!G187*'vehicle summary'!$H$9</f>
        <v>2.3890643671089264E-3</v>
      </c>
      <c r="H146" s="415">
        <f>'fuel summary'!H187*'vehicle summary'!$H$9</f>
        <v>0</v>
      </c>
      <c r="I146" s="360">
        <v>0</v>
      </c>
      <c r="J146" s="408">
        <f>'fuel summary'!I187*'vehicle summary'!$H$9</f>
        <v>3.3859203890462038E-3</v>
      </c>
    </row>
    <row r="147" spans="1:10" ht="15" thickBot="1">
      <c r="B147" s="41" t="str">
        <f t="shared" ref="B147:D147" si="83">B135</f>
        <v>LCA-GHG</v>
      </c>
      <c r="C147" s="42" t="str">
        <f t="shared" si="83"/>
        <v>GHG合计</v>
      </c>
      <c r="D147" s="42" t="str">
        <f t="shared" si="83"/>
        <v>g/km</v>
      </c>
      <c r="E147" s="706">
        <f>'fuel summary'!E188*'vehicle summary'!$H$9</f>
        <v>40.072037010670336</v>
      </c>
      <c r="F147" s="706">
        <f>'fuel summary'!F188*'vehicle summary'!$H$9</f>
        <v>2.7915891505555259</v>
      </c>
      <c r="G147" s="706">
        <f>'fuel summary'!G188*'vehicle summary'!$H$9</f>
        <v>200.74487935271276</v>
      </c>
      <c r="H147" s="706">
        <f>'fuel summary'!H188*'vehicle summary'!$H$9</f>
        <v>0</v>
      </c>
      <c r="I147" s="42">
        <v>0</v>
      </c>
      <c r="J147" s="747">
        <f>'fuel summary'!I188*'vehicle summary'!$H$9</f>
        <v>240.2599525771812</v>
      </c>
    </row>
    <row r="148" spans="1:10">
      <c r="D148"/>
      <c r="E148"/>
    </row>
    <row r="149" spans="1:10" ht="15" thickBot="1">
      <c r="D149"/>
      <c r="E149"/>
    </row>
    <row r="150" spans="1:10">
      <c r="A150" t="str">
        <f>A126</f>
        <v>纯电动车</v>
      </c>
      <c r="B150" s="36"/>
      <c r="C150" s="37"/>
      <c r="D150" s="37"/>
      <c r="E150" s="37" t="str">
        <f>E138</f>
        <v>原料开采处理</v>
      </c>
      <c r="F150" s="37" t="str">
        <f t="shared" ref="F150:J150" si="84">F138</f>
        <v>原料运输</v>
      </c>
      <c r="G150" s="37" t="str">
        <f t="shared" si="84"/>
        <v>燃料制备与燃烧</v>
      </c>
      <c r="H150" s="37" t="str">
        <f t="shared" si="84"/>
        <v>燃料输配</v>
      </c>
      <c r="I150" s="37" t="str">
        <f t="shared" si="84"/>
        <v>使用</v>
      </c>
      <c r="J150" s="37" t="str">
        <f t="shared" si="84"/>
        <v>合计</v>
      </c>
    </row>
    <row r="151" spans="1:10">
      <c r="A151" t="str">
        <f>GridE!F21</f>
        <v>东北电网</v>
      </c>
      <c r="B151" s="39" t="str">
        <f t="shared" ref="B151:D151" si="85">B139</f>
        <v>LCA-Coal</v>
      </c>
      <c r="C151" s="35" t="str">
        <f t="shared" si="85"/>
        <v>煤炭</v>
      </c>
      <c r="D151" s="35" t="str">
        <f t="shared" si="85"/>
        <v>MJ/km</v>
      </c>
      <c r="E151" s="415">
        <f>'fuel summary'!E192*'vehicle summary'!$H$9</f>
        <v>0.19662771420076475</v>
      </c>
      <c r="F151" s="415">
        <f>'fuel summary'!F192*'vehicle summary'!$H$9</f>
        <v>6.5799223659187616E-3</v>
      </c>
      <c r="G151" s="415">
        <f>'fuel summary'!G192*'vehicle summary'!$H$9</f>
        <v>2.7991881641804088</v>
      </c>
      <c r="H151" s="415">
        <f>'fuel summary'!H192*'vehicle summary'!$H$9</f>
        <v>0</v>
      </c>
      <c r="I151" s="35">
        <v>0</v>
      </c>
      <c r="J151" s="408">
        <f>'fuel summary'!I192*'vehicle summary'!$H$9</f>
        <v>3.0023958007470921</v>
      </c>
    </row>
    <row r="152" spans="1:10">
      <c r="B152" s="39" t="str">
        <f t="shared" ref="B152:D152" si="86">B140</f>
        <v>LCA-NG</v>
      </c>
      <c r="C152" s="35" t="str">
        <f t="shared" si="86"/>
        <v>天然气</v>
      </c>
      <c r="D152" s="35" t="str">
        <f t="shared" si="86"/>
        <v>MJ/km</v>
      </c>
      <c r="E152" s="415">
        <f>'fuel summary'!E193*'vehicle summary'!$H$9</f>
        <v>5.8477232205357485E-3</v>
      </c>
      <c r="F152" s="415">
        <f>'fuel summary'!F193*'vehicle summary'!$H$9</f>
        <v>1.7898094505664707E-3</v>
      </c>
      <c r="G152" s="415">
        <f>'fuel summary'!G193*'vehicle summary'!$H$9</f>
        <v>0</v>
      </c>
      <c r="H152" s="415">
        <f>'fuel summary'!H193*'vehicle summary'!$H$9</f>
        <v>0</v>
      </c>
      <c r="I152" s="35">
        <v>0</v>
      </c>
      <c r="J152" s="408">
        <f>'fuel summary'!I193*'vehicle summary'!$H$9</f>
        <v>7.6375326711022188E-3</v>
      </c>
    </row>
    <row r="153" spans="1:10">
      <c r="B153" s="39" t="str">
        <f t="shared" ref="B153:D153" si="87">B141</f>
        <v>LCA-Oil</v>
      </c>
      <c r="C153" s="35" t="str">
        <f t="shared" si="87"/>
        <v>石油</v>
      </c>
      <c r="D153" s="35" t="str">
        <f t="shared" si="87"/>
        <v>MJ/km</v>
      </c>
      <c r="E153" s="415">
        <f>'fuel summary'!E194*'vehicle summary'!$H$9</f>
        <v>7.677690063937666E-3</v>
      </c>
      <c r="F153" s="415">
        <f>'fuel summary'!F194*'vehicle summary'!$H$9</f>
        <v>3.3607263376813107E-2</v>
      </c>
      <c r="G153" s="415">
        <f>'fuel summary'!G194*'vehicle summary'!$H$9</f>
        <v>0</v>
      </c>
      <c r="H153" s="415">
        <f>'fuel summary'!H194*'vehicle summary'!$H$9</f>
        <v>0</v>
      </c>
      <c r="I153" s="35">
        <v>0</v>
      </c>
      <c r="J153" s="408">
        <f>'fuel summary'!I194*'vehicle summary'!$H$9</f>
        <v>4.1284953440750775E-2</v>
      </c>
    </row>
    <row r="154" spans="1:10">
      <c r="B154" s="39" t="str">
        <f t="shared" ref="B154:D154" si="88">B142</f>
        <v>LCA-PE</v>
      </c>
      <c r="C154" s="35" t="str">
        <f t="shared" si="88"/>
        <v>一次能源总计</v>
      </c>
      <c r="D154" s="35" t="str">
        <f t="shared" si="88"/>
        <v>MJ/km</v>
      </c>
      <c r="E154" s="415">
        <f>'fuel summary'!E195*'vehicle summary'!$H$9</f>
        <v>0.21015312748523815</v>
      </c>
      <c r="F154" s="415">
        <f>'fuel summary'!F195*'vehicle summary'!$H$9</f>
        <v>4.1976995193298339E-2</v>
      </c>
      <c r="G154" s="415">
        <f>'fuel summary'!G195*'vehicle summary'!$H$9</f>
        <v>2.7991881641804088</v>
      </c>
      <c r="H154" s="415">
        <f>'fuel summary'!H195*'vehicle summary'!$H$9</f>
        <v>0</v>
      </c>
      <c r="I154" s="360">
        <v>0</v>
      </c>
      <c r="J154" s="408">
        <f>'fuel summary'!I195*'vehicle summary'!$H$9</f>
        <v>3.0513182868589452</v>
      </c>
    </row>
    <row r="155" spans="1:10">
      <c r="B155" s="39"/>
      <c r="C155" s="35"/>
      <c r="D155" s="35"/>
      <c r="E155" s="415"/>
      <c r="F155" s="415"/>
      <c r="G155" s="415"/>
      <c r="H155" s="415"/>
      <c r="I155" s="35"/>
      <c r="J155" s="408"/>
    </row>
    <row r="156" spans="1:10">
      <c r="B156" s="39" t="str">
        <f t="shared" ref="B156:D156" si="89">B144</f>
        <v>LCA-CO2</v>
      </c>
      <c r="C156" s="35" t="str">
        <f t="shared" si="89"/>
        <v>二氧化碳</v>
      </c>
      <c r="D156" s="35" t="str">
        <f t="shared" si="89"/>
        <v>g/km</v>
      </c>
      <c r="E156" s="415">
        <f>'fuel summary'!E197*'vehicle summary'!$H$9</f>
        <v>16.944406058488198</v>
      </c>
      <c r="F156" s="415">
        <f>'fuel summary'!F197*'vehicle summary'!$H$9</f>
        <v>3.0721988507265192</v>
      </c>
      <c r="G156" s="415">
        <f>'fuel summary'!G197*'vehicle summary'!$H$9</f>
        <v>228.53132010001693</v>
      </c>
      <c r="H156" s="415">
        <f>'fuel summary'!H197*'vehicle summary'!$H$9</f>
        <v>0</v>
      </c>
      <c r="I156" s="360">
        <v>0</v>
      </c>
      <c r="J156" s="408">
        <f>'fuel summary'!I197*'vehicle summary'!$H$9</f>
        <v>248.54792500923168</v>
      </c>
    </row>
    <row r="157" spans="1:10">
      <c r="B157" s="39" t="str">
        <f t="shared" ref="B157:D157" si="90">B145</f>
        <v>LCA-CH4</v>
      </c>
      <c r="C157" s="35" t="str">
        <f t="shared" si="90"/>
        <v>甲烷</v>
      </c>
      <c r="D157" s="35" t="str">
        <f t="shared" si="90"/>
        <v>g/km</v>
      </c>
      <c r="E157" s="415">
        <f>'fuel summary'!E198*'vehicle summary'!$H$9</f>
        <v>1.2170271599742599</v>
      </c>
      <c r="F157" s="415">
        <f>'fuel summary'!F198*'vehicle summary'!$H$9</f>
        <v>3.4257310400999477E-3</v>
      </c>
      <c r="G157" s="415">
        <f>'fuel summary'!G198*'vehicle summary'!$H$9</f>
        <v>2.7991881641804086E-3</v>
      </c>
      <c r="H157" s="415">
        <f>'fuel summary'!H198*'vehicle summary'!$H$9</f>
        <v>0</v>
      </c>
      <c r="I157" s="360">
        <v>0</v>
      </c>
      <c r="J157" s="408">
        <f>'fuel summary'!I198*'vehicle summary'!$H$9</f>
        <v>1.2232520791785402</v>
      </c>
    </row>
    <row r="158" spans="1:10">
      <c r="B158" s="39" t="str">
        <f t="shared" ref="B158:D158" si="91">B146</f>
        <v>LCA-N2O</v>
      </c>
      <c r="C158" s="35" t="str">
        <f t="shared" si="91"/>
        <v>氧化二氮</v>
      </c>
      <c r="D158" s="35" t="str">
        <f t="shared" si="91"/>
        <v>mg/km</v>
      </c>
      <c r="E158" s="415">
        <f>'fuel summary'!E199*'vehicle summary'!$H$9</f>
        <v>3.6703376995143877E-4</v>
      </c>
      <c r="F158" s="415">
        <f>'fuel summary'!F199*'vehicle summary'!$H$9</f>
        <v>7.0329572113276737E-4</v>
      </c>
      <c r="G158" s="415">
        <f>'fuel summary'!G199*'vehicle summary'!$H$9</f>
        <v>2.7991881641804086E-3</v>
      </c>
      <c r="H158" s="415">
        <f>'fuel summary'!H199*'vehicle summary'!$H$9</f>
        <v>0</v>
      </c>
      <c r="I158" s="360">
        <v>0</v>
      </c>
      <c r="J158" s="408">
        <f>'fuel summary'!I199*'vehicle summary'!$H$9</f>
        <v>3.869517655264615E-3</v>
      </c>
    </row>
    <row r="159" spans="1:10" ht="15" thickBot="1">
      <c r="B159" s="41" t="str">
        <f t="shared" ref="B159:D159" si="92">B147</f>
        <v>LCA-GHG</v>
      </c>
      <c r="C159" s="42" t="str">
        <f t="shared" si="92"/>
        <v>GHG合计</v>
      </c>
      <c r="D159" s="42" t="str">
        <f t="shared" si="92"/>
        <v>g/km</v>
      </c>
      <c r="E159" s="706">
        <f>'fuel summary'!E200*'vehicle summary'!$H$9</f>
        <v>47.370194433908139</v>
      </c>
      <c r="F159" s="706">
        <f>'fuel summary'!F200*'vehicle summary'!$H$9</f>
        <v>3.1580517088539151</v>
      </c>
      <c r="G159" s="706">
        <f>'fuel summary'!G200*'vehicle summary'!$H$9</f>
        <v>228.60213396219439</v>
      </c>
      <c r="H159" s="706">
        <f>'fuel summary'!H200*'vehicle summary'!$H$9</f>
        <v>0</v>
      </c>
      <c r="I159" s="42">
        <v>0</v>
      </c>
      <c r="J159" s="413">
        <f>'fuel summary'!I200*'vehicle summary'!$H$9</f>
        <v>279.13038010495649</v>
      </c>
    </row>
    <row r="160" spans="1:10">
      <c r="D160"/>
      <c r="E160"/>
    </row>
    <row r="161" spans="1:11" ht="15" thickBot="1">
      <c r="D161"/>
      <c r="E161"/>
    </row>
    <row r="162" spans="1:11">
      <c r="A162" t="str">
        <f>A138</f>
        <v>纯电动车</v>
      </c>
      <c r="B162" s="36"/>
      <c r="C162" s="37"/>
      <c r="D162" s="37"/>
      <c r="E162" s="37" t="str">
        <f>E150</f>
        <v>原料开采处理</v>
      </c>
      <c r="F162" s="37" t="str">
        <f t="shared" ref="F162:J162" si="93">F150</f>
        <v>原料运输</v>
      </c>
      <c r="G162" s="37" t="str">
        <f t="shared" si="93"/>
        <v>燃料制备与燃烧</v>
      </c>
      <c r="H162" s="37" t="str">
        <f t="shared" si="93"/>
        <v>燃料输配</v>
      </c>
      <c r="I162" s="37" t="str">
        <f t="shared" si="93"/>
        <v>使用</v>
      </c>
      <c r="J162" s="37" t="str">
        <f t="shared" si="93"/>
        <v>合计</v>
      </c>
      <c r="K162" s="748"/>
    </row>
    <row r="163" spans="1:11">
      <c r="A163" t="str">
        <f>GridE!G21</f>
        <v>华北电网</v>
      </c>
      <c r="B163" s="39" t="str">
        <f t="shared" ref="B163:D163" si="94">B151</f>
        <v>LCA-Coal</v>
      </c>
      <c r="C163" s="35" t="str">
        <f t="shared" si="94"/>
        <v>煤炭</v>
      </c>
      <c r="D163" s="35" t="str">
        <f t="shared" si="94"/>
        <v>MJ/km</v>
      </c>
      <c r="E163" s="415">
        <f>'fuel summary'!E204*'vehicle summary'!$H$9</f>
        <v>0.2049948509752654</v>
      </c>
      <c r="F163" s="415">
        <f>'fuel summary'!F204*'vehicle summary'!$H$9</f>
        <v>6.8599190623408364E-3</v>
      </c>
      <c r="G163" s="415">
        <f>'fuel summary'!G204*'vehicle summary'!$H$9</f>
        <v>2.9183025541455327</v>
      </c>
      <c r="H163" s="415">
        <f>'fuel summary'!H204*'vehicle summary'!$H$9</f>
        <v>0</v>
      </c>
      <c r="I163" s="35">
        <v>0</v>
      </c>
      <c r="J163" s="408">
        <f>'fuel summary'!I204*'vehicle summary'!$H$9</f>
        <v>3.1301573241831391</v>
      </c>
    </row>
    <row r="164" spans="1:11">
      <c r="B164" s="39" t="str">
        <f t="shared" ref="B164:D164" si="95">B152</f>
        <v>LCA-NG</v>
      </c>
      <c r="C164" s="35" t="str">
        <f t="shared" si="95"/>
        <v>天然气</v>
      </c>
      <c r="D164" s="35" t="str">
        <f t="shared" si="95"/>
        <v>MJ/km</v>
      </c>
      <c r="E164" s="415">
        <f>'fuel summary'!E205*'vehicle summary'!$H$9</f>
        <v>6.096562506515993E-3</v>
      </c>
      <c r="F164" s="415">
        <f>'fuel summary'!F205*'vehicle summary'!$H$9</f>
        <v>1.865971554845895E-3</v>
      </c>
      <c r="G164" s="415">
        <f>'fuel summary'!G205*'vehicle summary'!$H$9</f>
        <v>0</v>
      </c>
      <c r="H164" s="415">
        <f>'fuel summary'!H205*'vehicle summary'!$H$9</f>
        <v>0</v>
      </c>
      <c r="I164" s="35">
        <v>0</v>
      </c>
      <c r="J164" s="408">
        <f>'fuel summary'!I205*'vehicle summary'!$H$9</f>
        <v>7.9625340613618881E-3</v>
      </c>
    </row>
    <row r="165" spans="1:11">
      <c r="B165" s="39" t="str">
        <f t="shared" ref="B165:D165" si="96">B153</f>
        <v>LCA-Oil</v>
      </c>
      <c r="C165" s="35" t="str">
        <f t="shared" si="96"/>
        <v>石油</v>
      </c>
      <c r="D165" s="35" t="str">
        <f t="shared" si="96"/>
        <v>MJ/km</v>
      </c>
      <c r="E165" s="415">
        <f>'fuel summary'!E206*'vehicle summary'!$H$9</f>
        <v>8.0044002794243761E-3</v>
      </c>
      <c r="F165" s="415">
        <f>'fuel summary'!F206*'vehicle summary'!$H$9</f>
        <v>3.5037359690720048E-2</v>
      </c>
      <c r="G165" s="415">
        <f>'fuel summary'!G206*'vehicle summary'!$H$9</f>
        <v>0</v>
      </c>
      <c r="H165" s="415">
        <f>'fuel summary'!H206*'vehicle summary'!$H$9</f>
        <v>0</v>
      </c>
      <c r="I165" s="35">
        <v>0</v>
      </c>
      <c r="J165" s="408">
        <f>'fuel summary'!I206*'vehicle summary'!$H$9</f>
        <v>4.3041759970144429E-2</v>
      </c>
    </row>
    <row r="166" spans="1:11">
      <c r="B166" s="39" t="str">
        <f t="shared" ref="B166:D166" si="97">B154</f>
        <v>LCA-PE</v>
      </c>
      <c r="C166" s="35" t="str">
        <f t="shared" si="97"/>
        <v>一次能源总计</v>
      </c>
      <c r="D166" s="35" t="str">
        <f t="shared" si="97"/>
        <v>MJ/km</v>
      </c>
      <c r="E166" s="415">
        <f>'fuel summary'!E207*'vehicle summary'!$H$9</f>
        <v>0.21909581376120577</v>
      </c>
      <c r="F166" s="415">
        <f>'fuel summary'!F207*'vehicle summary'!$H$9</f>
        <v>4.376325030790678E-2</v>
      </c>
      <c r="G166" s="415">
        <f>'fuel summary'!G207*'vehicle summary'!$H$9</f>
        <v>2.9183025541455327</v>
      </c>
      <c r="H166" s="415">
        <f>'fuel summary'!H207*'vehicle summary'!$H$9</f>
        <v>0</v>
      </c>
      <c r="I166" s="360">
        <v>0</v>
      </c>
      <c r="J166" s="408">
        <f>'fuel summary'!I207*'vehicle summary'!$H$9</f>
        <v>3.1811616182146452</v>
      </c>
    </row>
    <row r="167" spans="1:11">
      <c r="B167" s="39"/>
      <c r="C167" s="35"/>
      <c r="D167" s="35"/>
      <c r="E167" s="415"/>
      <c r="F167" s="415"/>
      <c r="G167" s="415"/>
      <c r="H167" s="415"/>
      <c r="I167" s="35"/>
      <c r="J167" s="408"/>
    </row>
    <row r="168" spans="1:11">
      <c r="B168" s="39" t="str">
        <f t="shared" ref="B168:D168" si="98">B156</f>
        <v>LCA-CO2</v>
      </c>
      <c r="C168" s="35" t="str">
        <f t="shared" si="98"/>
        <v>二氧化碳</v>
      </c>
      <c r="D168" s="35" t="str">
        <f t="shared" si="98"/>
        <v>g/km</v>
      </c>
      <c r="E168" s="415">
        <f>'fuel summary'!E209*'vehicle summary'!$H$9</f>
        <v>17.66544461416855</v>
      </c>
      <c r="F168" s="415">
        <f>'fuel summary'!F209*'vehicle summary'!$H$9</f>
        <v>3.2029307167148819</v>
      </c>
      <c r="G168" s="415">
        <f>'fuel summary'!G209*'vehicle summary'!$H$9</f>
        <v>238.25605712554957</v>
      </c>
      <c r="H168" s="415">
        <f>'fuel summary'!H209*'vehicle summary'!$H$9</f>
        <v>0</v>
      </c>
      <c r="I168" s="360">
        <v>0</v>
      </c>
      <c r="J168" s="408">
        <f>'fuel summary'!I209*'vehicle summary'!$H$9</f>
        <v>259.124432456433</v>
      </c>
    </row>
    <row r="169" spans="1:11">
      <c r="B169" s="39" t="str">
        <f t="shared" ref="B169:D169" si="99">B157</f>
        <v>LCA-CH4</v>
      </c>
      <c r="C169" s="35" t="str">
        <f t="shared" si="99"/>
        <v>甲烷</v>
      </c>
      <c r="D169" s="35" t="str">
        <f t="shared" si="99"/>
        <v>g/km</v>
      </c>
      <c r="E169" s="415">
        <f>'fuel summary'!E210*'vehicle summary'!$H$9</f>
        <v>1.2688155497603986</v>
      </c>
      <c r="F169" s="415">
        <f>'fuel summary'!F210*'vehicle summary'!$H$9</f>
        <v>3.571506829040371E-3</v>
      </c>
      <c r="G169" s="415">
        <f>'fuel summary'!G210*'vehicle summary'!$H$9</f>
        <v>2.9183025541455326E-3</v>
      </c>
      <c r="H169" s="415">
        <f>'fuel summary'!H210*'vehicle summary'!$H$9</f>
        <v>0</v>
      </c>
      <c r="I169" s="360">
        <v>0</v>
      </c>
      <c r="J169" s="408">
        <f>'fuel summary'!I210*'vehicle summary'!$H$9</f>
        <v>1.2753053591435846</v>
      </c>
    </row>
    <row r="170" spans="1:11">
      <c r="B170" s="39" t="str">
        <f t="shared" ref="B170:D170" si="100">B158</f>
        <v>LCA-N2O</v>
      </c>
      <c r="C170" s="35" t="str">
        <f t="shared" si="100"/>
        <v>氧化二氮</v>
      </c>
      <c r="D170" s="35" t="str">
        <f t="shared" si="100"/>
        <v>mg/km</v>
      </c>
      <c r="E170" s="415">
        <f>'fuel summary'!E211*'vehicle summary'!$H$9</f>
        <v>3.8265222824724471E-4</v>
      </c>
      <c r="F170" s="415">
        <f>'fuel summary'!F211*'vehicle summary'!$H$9</f>
        <v>7.3322319862777869E-4</v>
      </c>
      <c r="G170" s="415">
        <f>'fuel summary'!G211*'vehicle summary'!$H$9</f>
        <v>2.9183025541455326E-3</v>
      </c>
      <c r="H170" s="415">
        <f>'fuel summary'!H211*'vehicle summary'!$H$9</f>
        <v>0</v>
      </c>
      <c r="I170" s="360">
        <v>0</v>
      </c>
      <c r="J170" s="408">
        <f>'fuel summary'!I211*'vehicle summary'!$H$9</f>
        <v>4.0341779810205572E-3</v>
      </c>
    </row>
    <row r="171" spans="1:11" ht="15" thickBot="1">
      <c r="B171" s="41" t="str">
        <f t="shared" ref="B171:D171" si="101">B159</f>
        <v>LCA-GHG</v>
      </c>
      <c r="C171" s="42" t="str">
        <f t="shared" si="101"/>
        <v>GHG合计</v>
      </c>
      <c r="D171" s="42" t="str">
        <f t="shared" si="101"/>
        <v>g/km</v>
      </c>
      <c r="E171" s="706">
        <f>'fuel summary'!E212*'vehicle summary'!$H$9</f>
        <v>49.385947388542526</v>
      </c>
      <c r="F171" s="706">
        <f>'fuel summary'!F212*'vehicle summary'!$H$9</f>
        <v>3.2924368879540822</v>
      </c>
      <c r="G171" s="706">
        <f>'fuel summary'!G212*'vehicle summary'!$H$9</f>
        <v>238.32988434356437</v>
      </c>
      <c r="H171" s="706">
        <f>'fuel summary'!H212*'vehicle summary'!$H$9</f>
        <v>0</v>
      </c>
      <c r="I171" s="42">
        <v>0</v>
      </c>
      <c r="J171" s="413">
        <f>'fuel summary'!I212*'vehicle summary'!$H$9</f>
        <v>291.00826862006096</v>
      </c>
    </row>
    <row r="172" spans="1:11">
      <c r="D172"/>
      <c r="E172"/>
      <c r="K172" s="748"/>
    </row>
    <row r="173" spans="1:11" ht="15" thickBot="1">
      <c r="D173"/>
      <c r="E173"/>
    </row>
    <row r="174" spans="1:11">
      <c r="A174" t="str">
        <f>A150</f>
        <v>纯电动车</v>
      </c>
      <c r="B174" s="36"/>
      <c r="C174" s="37"/>
      <c r="D174" s="37"/>
      <c r="E174" s="37" t="str">
        <f>E162</f>
        <v>原料开采处理</v>
      </c>
      <c r="F174" s="37" t="str">
        <f t="shared" ref="F174:J174" si="102">F162</f>
        <v>原料运输</v>
      </c>
      <c r="G174" s="37" t="str">
        <f t="shared" si="102"/>
        <v>燃料制备与燃烧</v>
      </c>
      <c r="H174" s="37" t="str">
        <f t="shared" si="102"/>
        <v>燃料输配</v>
      </c>
      <c r="I174" s="37" t="str">
        <f t="shared" si="102"/>
        <v>使用</v>
      </c>
      <c r="J174" s="37" t="str">
        <f t="shared" si="102"/>
        <v>合计</v>
      </c>
    </row>
    <row r="175" spans="1:11">
      <c r="A175" t="str">
        <f>GridE!H21</f>
        <v>南方电网</v>
      </c>
      <c r="B175" s="39" t="str">
        <f t="shared" ref="B175:D175" si="103">B163</f>
        <v>LCA-Coal</v>
      </c>
      <c r="C175" s="35" t="str">
        <f t="shared" si="103"/>
        <v>煤炭</v>
      </c>
      <c r="D175" s="35" t="str">
        <f t="shared" si="103"/>
        <v>MJ/km</v>
      </c>
      <c r="E175" s="415">
        <f>'fuel summary'!E216*'vehicle summary'!$H$9</f>
        <v>0.16972623164130995</v>
      </c>
      <c r="F175" s="415">
        <f>'fuel summary'!F216*'vehicle summary'!$H$9</f>
        <v>6.0841475925853096E-3</v>
      </c>
      <c r="G175" s="415">
        <f>'fuel summary'!G216*'vehicle summary'!$H$9</f>
        <v>2.3864282819372122</v>
      </c>
      <c r="H175" s="415">
        <f>'fuel summary'!H216*'vehicle summary'!$H$9</f>
        <v>0</v>
      </c>
      <c r="I175" s="35">
        <v>0</v>
      </c>
      <c r="J175" s="408">
        <f>'fuel summary'!I216*'vehicle summary'!$H$9</f>
        <v>2.5622386611711079</v>
      </c>
    </row>
    <row r="176" spans="1:11">
      <c r="B176" s="39" t="str">
        <f t="shared" ref="B176:D176" si="104">B164</f>
        <v>LCA-NG</v>
      </c>
      <c r="C176" s="35" t="str">
        <f t="shared" si="104"/>
        <v>天然气</v>
      </c>
      <c r="D176" s="35" t="str">
        <f t="shared" si="104"/>
        <v>MJ/km</v>
      </c>
      <c r="E176" s="415">
        <f>'fuel summary'!E217*'vehicle summary'!$H$9</f>
        <v>9.3674593134740799E-3</v>
      </c>
      <c r="F176" s="415">
        <f>'fuel summary'!F217*'vehicle summary'!$H$9</f>
        <v>1.7655995304589236E-3</v>
      </c>
      <c r="G176" s="415">
        <f>'fuel summary'!G217*'vehicle summary'!$H$9</f>
        <v>1.6861497627310665E-2</v>
      </c>
      <c r="H176" s="415">
        <f>'fuel summary'!H217*'vehicle summary'!$H$9</f>
        <v>0</v>
      </c>
      <c r="I176" s="35">
        <v>0</v>
      </c>
      <c r="J176" s="408">
        <f>'fuel summary'!I217*'vehicle summary'!$H$9</f>
        <v>2.7994556471243666E-2</v>
      </c>
    </row>
    <row r="177" spans="1:15">
      <c r="B177" s="39" t="str">
        <f t="shared" ref="B177:D177" si="105">B165</f>
        <v>LCA-Oil</v>
      </c>
      <c r="C177" s="35" t="str">
        <f t="shared" si="105"/>
        <v>石油</v>
      </c>
      <c r="D177" s="35" t="str">
        <f t="shared" si="105"/>
        <v>MJ/km</v>
      </c>
      <c r="E177" s="415">
        <f>'fuel summary'!E218*'vehicle summary'!$H$9</f>
        <v>8.8724274881324776E-3</v>
      </c>
      <c r="F177" s="415">
        <f>'fuel summary'!F218*'vehicle summary'!$H$9</f>
        <v>2.9201485154367955E-2</v>
      </c>
      <c r="G177" s="415">
        <f>'fuel summary'!G218*'vehicle summary'!$H$9</f>
        <v>6.4586950224210529E-2</v>
      </c>
      <c r="H177" s="415">
        <f>'fuel summary'!H218*'vehicle summary'!$H$9</f>
        <v>0</v>
      </c>
      <c r="I177" s="35">
        <v>0</v>
      </c>
      <c r="J177" s="408">
        <f>'fuel summary'!I218*'vehicle summary'!$H$9</f>
        <v>0.10266086286671096</v>
      </c>
    </row>
    <row r="178" spans="1:15">
      <c r="B178" s="39" t="str">
        <f t="shared" ref="B178:D178" si="106">B166</f>
        <v>LCA-PE</v>
      </c>
      <c r="C178" s="35" t="str">
        <f t="shared" si="106"/>
        <v>一次能源总计</v>
      </c>
      <c r="D178" s="35" t="str">
        <f t="shared" si="106"/>
        <v>MJ/km</v>
      </c>
      <c r="E178" s="415">
        <f>'fuel summary'!E219*'vehicle summary'!$H$9</f>
        <v>0.18796611844291652</v>
      </c>
      <c r="F178" s="415">
        <f>'fuel summary'!F219*'vehicle summary'!$H$9</f>
        <v>3.7051232277412187E-2</v>
      </c>
      <c r="G178" s="415">
        <f>'fuel summary'!G219*'vehicle summary'!$H$9</f>
        <v>2.4678767297887334</v>
      </c>
      <c r="H178" s="415">
        <f>'fuel summary'!H219*'vehicle summary'!$H$9</f>
        <v>0</v>
      </c>
      <c r="I178" s="360">
        <v>0</v>
      </c>
      <c r="J178" s="408">
        <f>'fuel summary'!I219*'vehicle summary'!$H$9</f>
        <v>2.692894080509062</v>
      </c>
    </row>
    <row r="179" spans="1:15">
      <c r="B179" s="39"/>
      <c r="C179" s="35"/>
      <c r="D179" s="35"/>
      <c r="E179" s="415"/>
      <c r="F179" s="415"/>
      <c r="G179" s="415"/>
      <c r="H179" s="415"/>
      <c r="I179" s="35"/>
      <c r="J179" s="408"/>
    </row>
    <row r="180" spans="1:15">
      <c r="B180" s="39" t="str">
        <f t="shared" ref="B180:D180" si="107">B168</f>
        <v>LCA-CO2</v>
      </c>
      <c r="C180" s="35" t="str">
        <f t="shared" si="107"/>
        <v>二氧化碳</v>
      </c>
      <c r="D180" s="35" t="str">
        <f t="shared" si="107"/>
        <v>g/km</v>
      </c>
      <c r="E180" s="415">
        <f>'fuel summary'!E221*'vehicle summary'!$H$9</f>
        <v>15.030586321484245</v>
      </c>
      <c r="F180" s="415">
        <f>'fuel summary'!F221*'vehicle summary'!$H$9</f>
        <v>2.7129776383388138</v>
      </c>
      <c r="G180" s="415">
        <f>'fuel summary'!G221*'vehicle summary'!$H$9</f>
        <v>200.66801319003389</v>
      </c>
      <c r="H180" s="415">
        <f>'fuel summary'!H221*'vehicle summary'!$H$9</f>
        <v>0</v>
      </c>
      <c r="I180" s="360">
        <v>0</v>
      </c>
      <c r="J180" s="408">
        <f>'fuel summary'!I221*'vehicle summary'!$H$9</f>
        <v>218.41157714985692</v>
      </c>
    </row>
    <row r="181" spans="1:15">
      <c r="B181" s="39" t="str">
        <f t="shared" ref="B181:D181" si="108">B169</f>
        <v>LCA-CH4</v>
      </c>
      <c r="C181" s="35" t="str">
        <f t="shared" si="108"/>
        <v>甲烷</v>
      </c>
      <c r="D181" s="35" t="str">
        <f t="shared" si="108"/>
        <v>g/km</v>
      </c>
      <c r="E181" s="415">
        <f>'fuel summary'!E222*'vehicle summary'!$H$9</f>
        <v>1.0400908402746665</v>
      </c>
      <c r="F181" s="415">
        <f>'fuel summary'!F222*'vehicle summary'!$H$9</f>
        <v>3.1373015960809575E-3</v>
      </c>
      <c r="G181" s="415">
        <f>'fuel summary'!G222*'vehicle summary'!$H$9</f>
        <v>3.0461688598978718E-3</v>
      </c>
      <c r="H181" s="415">
        <f>'fuel summary'!H222*'vehicle summary'!$H$9</f>
        <v>0</v>
      </c>
      <c r="I181" s="360">
        <v>0</v>
      </c>
      <c r="J181" s="408">
        <f>'fuel summary'!I222*'vehicle summary'!$H$9</f>
        <v>1.0462743107306456</v>
      </c>
    </row>
    <row r="182" spans="1:15">
      <c r="B182" s="39" t="str">
        <f t="shared" ref="B182:D182" si="109">B170</f>
        <v>LCA-N2O</v>
      </c>
      <c r="C182" s="35" t="str">
        <f t="shared" si="109"/>
        <v>氧化二氮</v>
      </c>
      <c r="D182" s="35" t="str">
        <f t="shared" si="109"/>
        <v>mg/km</v>
      </c>
      <c r="E182" s="415">
        <f>'fuel summary'!E223*'vehicle summary'!$H$9</f>
        <v>3.3181324542053169E-4</v>
      </c>
      <c r="F182" s="415">
        <f>'fuel summary'!F223*'vehicle summary'!$H$9</f>
        <v>6.0057823720738258E-4</v>
      </c>
      <c r="G182" s="415">
        <f>'fuel summary'!G223*'vehicle summary'!$H$9</f>
        <v>2.3890643671089264E-3</v>
      </c>
      <c r="H182" s="415">
        <f>'fuel summary'!H223*'vehicle summary'!$H$9</f>
        <v>0</v>
      </c>
      <c r="I182" s="360">
        <v>0</v>
      </c>
      <c r="J182" s="408">
        <f>'fuel summary'!I223*'vehicle summary'!$H$9</f>
        <v>3.3214558497368404E-3</v>
      </c>
    </row>
    <row r="183" spans="1:15" ht="15" thickBot="1">
      <c r="B183" s="41" t="str">
        <f t="shared" ref="B183:D183" si="110">B171</f>
        <v>LCA-GHG</v>
      </c>
      <c r="C183" s="42" t="str">
        <f t="shared" si="110"/>
        <v>GHG合计</v>
      </c>
      <c r="D183" s="42" t="str">
        <f t="shared" si="110"/>
        <v>g/km</v>
      </c>
      <c r="E183" s="706">
        <f>'fuel summary'!E224*'vehicle summary'!$H$9</f>
        <v>41.032956208698039</v>
      </c>
      <c r="F183" s="706">
        <f>'fuel summary'!F224*'vehicle summary'!$H$9</f>
        <v>2.7915891505555255</v>
      </c>
      <c r="G183" s="706">
        <f>'fuel summary'!G224*'vehicle summary'!$H$9</f>
        <v>200.74487935271276</v>
      </c>
      <c r="H183" s="706">
        <f>'fuel summary'!H224*'vehicle summary'!$H$9</f>
        <v>0</v>
      </c>
      <c r="I183" s="42">
        <v>0</v>
      </c>
      <c r="J183" s="413">
        <f>'fuel summary'!I224*'vehicle summary'!$H$9</f>
        <v>244.56942471196632</v>
      </c>
    </row>
    <row r="184" spans="1:15">
      <c r="A184" s="533" t="s">
        <v>1096</v>
      </c>
      <c r="C184" t="str">
        <f>B22</f>
        <v>LCA-GHG</v>
      </c>
      <c r="D184" t="str">
        <f>D22</f>
        <v>g/km</v>
      </c>
    </row>
    <row r="185" spans="1:15">
      <c r="D185"/>
      <c r="E185" s="533" t="s">
        <v>1104</v>
      </c>
      <c r="F185" s="533" t="s">
        <v>1097</v>
      </c>
      <c r="G185" s="533" t="s">
        <v>1098</v>
      </c>
      <c r="H185" s="533" t="s">
        <v>1099</v>
      </c>
      <c r="I185" s="533" t="s">
        <v>1100</v>
      </c>
      <c r="J185" s="533" t="s">
        <v>1107</v>
      </c>
    </row>
    <row r="186" spans="1:15">
      <c r="C186" t="str">
        <f>A3</f>
        <v>汽油车</v>
      </c>
      <c r="D186" s="533" t="s">
        <v>1101</v>
      </c>
      <c r="E186" s="442">
        <f>E22</f>
        <v>22.636408885117575</v>
      </c>
      <c r="F186" s="442">
        <f t="shared" ref="F186:I186" si="111">F22</f>
        <v>3.8124091201568766</v>
      </c>
      <c r="G186" s="442">
        <f t="shared" si="111"/>
        <v>27.68579261330947</v>
      </c>
      <c r="H186" s="442">
        <f t="shared" si="111"/>
        <v>1.4571877187971158</v>
      </c>
      <c r="I186" s="442">
        <f t="shared" si="111"/>
        <v>174.66344031104001</v>
      </c>
      <c r="J186" s="442">
        <f>SUM(E186:I186)</f>
        <v>230.25523864842103</v>
      </c>
    </row>
    <row r="187" spans="1:15">
      <c r="C187" t="str">
        <f>A4</f>
        <v>柴油车</v>
      </c>
      <c r="D187" s="533" t="s">
        <v>1102</v>
      </c>
      <c r="E187" s="442">
        <f>E33</f>
        <v>20.461345248764971</v>
      </c>
      <c r="F187" s="442">
        <f t="shared" ref="F187:I187" si="112">F33</f>
        <v>3.4460863307852803</v>
      </c>
      <c r="G187" s="442">
        <f t="shared" si="112"/>
        <v>23.647995902817108</v>
      </c>
      <c r="H187" s="442">
        <f t="shared" si="112"/>
        <v>1.3260408241053754</v>
      </c>
      <c r="I187" s="442">
        <f t="shared" si="112"/>
        <v>165.26168973971622</v>
      </c>
      <c r="J187" s="442">
        <f t="shared" ref="J187:J200" si="113">SUM(E187:I187)</f>
        <v>214.14315804618894</v>
      </c>
      <c r="K187" s="697">
        <f>1-J187/J186</f>
        <v>6.9974870916330256E-2</v>
      </c>
    </row>
    <row r="188" spans="1:15">
      <c r="D188" s="533"/>
      <c r="E188" s="442"/>
      <c r="F188" s="442"/>
      <c r="G188" s="442"/>
      <c r="H188" s="442"/>
      <c r="I188" s="442"/>
      <c r="J188" s="442"/>
    </row>
    <row r="189" spans="1:15">
      <c r="C189" t="str">
        <f>A5</f>
        <v>CNG车</v>
      </c>
      <c r="D189" s="533" t="s">
        <v>1103</v>
      </c>
      <c r="E189" s="464">
        <f>E44</f>
        <v>24.558388095757763</v>
      </c>
      <c r="F189" s="464">
        <f t="shared" ref="F189:I189" si="114">F44</f>
        <v>0.53183073249869395</v>
      </c>
      <c r="G189" s="464">
        <f t="shared" si="114"/>
        <v>19.455630969523892</v>
      </c>
      <c r="H189" s="464">
        <f t="shared" si="114"/>
        <v>0</v>
      </c>
      <c r="I189" s="464">
        <f t="shared" si="114"/>
        <v>148.00109507567998</v>
      </c>
      <c r="J189" s="442">
        <f t="shared" si="113"/>
        <v>192.54694487346035</v>
      </c>
      <c r="L189" s="697">
        <f>1-J189/$J$186</f>
        <v>0.16376736527822433</v>
      </c>
      <c r="N189" s="697">
        <f>1-J189/$J$187</f>
        <v>0.10084941947139148</v>
      </c>
    </row>
    <row r="190" spans="1:15">
      <c r="C190" t="str">
        <f>A6</f>
        <v>LNG车</v>
      </c>
      <c r="D190" t="str">
        <f>A47</f>
        <v>进口LNG</v>
      </c>
      <c r="E190" s="464">
        <f>E55</f>
        <v>23.442841079986692</v>
      </c>
      <c r="F190" s="464">
        <f t="shared" ref="F190:I190" si="115">F55</f>
        <v>19.92857423142646</v>
      </c>
      <c r="G190" s="464">
        <f t="shared" si="115"/>
        <v>4.8268480232717632</v>
      </c>
      <c r="H190" s="464">
        <f t="shared" si="115"/>
        <v>1.2070005788692726</v>
      </c>
      <c r="I190" s="464">
        <f t="shared" si="115"/>
        <v>141.39246028078813</v>
      </c>
      <c r="J190" s="442">
        <f t="shared" si="113"/>
        <v>190.79772419434232</v>
      </c>
      <c r="K190" s="721">
        <f>H190+I190</f>
        <v>142.5994608596574</v>
      </c>
      <c r="L190" s="697">
        <f>1-J190/$J$186</f>
        <v>0.1713642420719329</v>
      </c>
      <c r="M190" s="697">
        <f>1-K190/$J$186</f>
        <v>0.38068961341898544</v>
      </c>
      <c r="N190" s="697">
        <f t="shared" ref="N190:O192" si="116">1-J190/$J$187</f>
        <v>0.10901788347966368</v>
      </c>
      <c r="O190" s="697">
        <f t="shared" si="116"/>
        <v>0.33409284629630875</v>
      </c>
    </row>
    <row r="191" spans="1:15">
      <c r="D191" t="str">
        <f>A58</f>
        <v>国产气田产LNG</v>
      </c>
      <c r="E191" s="464">
        <f>E66</f>
        <v>23.442841079986692</v>
      </c>
      <c r="F191" s="464">
        <f t="shared" ref="F191:I191" si="117">F66</f>
        <v>0</v>
      </c>
      <c r="G191" s="464">
        <f t="shared" si="117"/>
        <v>30.046343460702811</v>
      </c>
      <c r="H191" s="464">
        <f t="shared" si="117"/>
        <v>1.2070005788692726</v>
      </c>
      <c r="I191" s="464">
        <f t="shared" si="117"/>
        <v>143.15146177820142</v>
      </c>
      <c r="J191" s="442">
        <f t="shared" si="113"/>
        <v>197.8476468977602</v>
      </c>
      <c r="L191" s="697">
        <f t="shared" ref="L191:L202" si="118">1-J191/$J$186</f>
        <v>0.14074638188859756</v>
      </c>
      <c r="N191" s="697">
        <f t="shared" si="116"/>
        <v>7.6096342732154598E-2</v>
      </c>
    </row>
    <row r="192" spans="1:15">
      <c r="D192" t="str">
        <f>A69</f>
        <v>管输气产LNG</v>
      </c>
      <c r="E192" s="464">
        <f>E77</f>
        <v>23.442841079986692</v>
      </c>
      <c r="F192" s="464">
        <f t="shared" ref="F192:I192" si="119">F77</f>
        <v>2.5378751024372432</v>
      </c>
      <c r="G192" s="464">
        <f t="shared" si="119"/>
        <v>30.019320655276978</v>
      </c>
      <c r="H192" s="464">
        <f t="shared" si="119"/>
        <v>1.2070005788692726</v>
      </c>
      <c r="I192" s="464">
        <f t="shared" si="119"/>
        <v>143.15146177820142</v>
      </c>
      <c r="J192" s="442">
        <f t="shared" si="113"/>
        <v>200.35849919477161</v>
      </c>
      <c r="L192" s="697">
        <f t="shared" si="118"/>
        <v>0.12984173402151789</v>
      </c>
      <c r="N192" s="697">
        <f t="shared" si="116"/>
        <v>6.4371231736687573E-2</v>
      </c>
    </row>
    <row r="193" spans="3:12">
      <c r="D193"/>
      <c r="E193" s="464"/>
      <c r="F193" s="464"/>
      <c r="G193" s="464"/>
      <c r="H193" s="464"/>
      <c r="I193" s="464"/>
      <c r="J193" s="442"/>
      <c r="L193" s="697"/>
    </row>
    <row r="194" spans="3:12">
      <c r="C194" t="str">
        <f>A7</f>
        <v>乙醇车</v>
      </c>
      <c r="D194" t="str">
        <f>A80</f>
        <v>玉米燃料乙醇</v>
      </c>
      <c r="E194" s="464">
        <f>E88</f>
        <v>62.5776177443188</v>
      </c>
      <c r="F194" s="464">
        <f t="shared" ref="F194:I194" si="120">F88</f>
        <v>6.0007335996441276</v>
      </c>
      <c r="G194" s="464">
        <f t="shared" si="120"/>
        <v>147.23229676856985</v>
      </c>
      <c r="H194" s="464">
        <f t="shared" si="120"/>
        <v>3.4006630058081502</v>
      </c>
      <c r="I194" s="464">
        <f t="shared" si="120"/>
        <v>0</v>
      </c>
      <c r="J194" s="442">
        <f t="shared" si="113"/>
        <v>219.21131111834092</v>
      </c>
      <c r="L194" s="697">
        <f t="shared" si="118"/>
        <v>4.7963849139359582E-2</v>
      </c>
    </row>
    <row r="195" spans="3:12">
      <c r="C195" t="str">
        <f>A8</f>
        <v>生物柴油车</v>
      </c>
      <c r="D195" t="str">
        <f>A91</f>
        <v>小桐子制取生物柴油</v>
      </c>
      <c r="E195" s="464">
        <f>E99</f>
        <v>26.88786370469969</v>
      </c>
      <c r="F195" s="464">
        <f t="shared" ref="F195:I195" si="121">F99</f>
        <v>8.8883433714890945</v>
      </c>
      <c r="G195" s="464">
        <f t="shared" si="121"/>
        <v>42.294665834966906</v>
      </c>
      <c r="H195" s="464">
        <f t="shared" si="121"/>
        <v>1.4089774021361878</v>
      </c>
      <c r="I195" s="464">
        <f t="shared" si="121"/>
        <v>0</v>
      </c>
      <c r="J195" s="442">
        <f t="shared" si="113"/>
        <v>79.479850313291877</v>
      </c>
      <c r="L195" s="697">
        <f t="shared" si="118"/>
        <v>0.65481849281765769</v>
      </c>
    </row>
    <row r="196" spans="3:12">
      <c r="D196"/>
      <c r="E196" s="464"/>
      <c r="F196" s="464"/>
      <c r="G196" s="464"/>
      <c r="H196" s="464"/>
      <c r="I196" s="464"/>
      <c r="J196" s="442"/>
      <c r="L196" s="697"/>
    </row>
    <row r="197" spans="3:12">
      <c r="C197" t="str">
        <f>A9</f>
        <v>纯电动车</v>
      </c>
      <c r="D197" t="str">
        <f>A103</f>
        <v>煤电分阶段</v>
      </c>
      <c r="E197" s="464">
        <f>E111</f>
        <v>50.39382386585973</v>
      </c>
      <c r="F197" s="464">
        <f t="shared" ref="F197:I197" si="122">F111</f>
        <v>3.3596294775041655</v>
      </c>
      <c r="G197" s="464">
        <f t="shared" si="122"/>
        <v>243.19375953424932</v>
      </c>
      <c r="H197" s="464">
        <f t="shared" si="122"/>
        <v>0</v>
      </c>
      <c r="I197" s="464">
        <f t="shared" si="122"/>
        <v>0</v>
      </c>
      <c r="J197" s="442">
        <f t="shared" si="113"/>
        <v>296.9472128776132</v>
      </c>
      <c r="L197" s="697">
        <f t="shared" si="118"/>
        <v>-0.2896436781228886</v>
      </c>
    </row>
    <row r="198" spans="3:12">
      <c r="D198" t="str">
        <f>A115</f>
        <v>气电分阶段</v>
      </c>
      <c r="E198" s="464">
        <f>E123</f>
        <v>22.091153926490204</v>
      </c>
      <c r="F198" s="464">
        <f t="shared" ref="F198:I198" si="123">F123</f>
        <v>2.3915441538359841</v>
      </c>
      <c r="G198" s="464">
        <f t="shared" si="123"/>
        <v>133.23993424903668</v>
      </c>
      <c r="H198" s="464">
        <f t="shared" si="123"/>
        <v>0</v>
      </c>
      <c r="I198" s="464">
        <f t="shared" si="123"/>
        <v>0</v>
      </c>
      <c r="J198" s="442">
        <f t="shared" si="113"/>
        <v>157.72263232936285</v>
      </c>
      <c r="L198" s="697">
        <f t="shared" si="118"/>
        <v>0.31500958130124856</v>
      </c>
    </row>
    <row r="199" spans="3:12">
      <c r="D199" t="str">
        <f>A127</f>
        <v>油电分阶段</v>
      </c>
      <c r="E199" s="464">
        <f>E135</f>
        <v>28.492511925498551</v>
      </c>
      <c r="F199" s="464">
        <f t="shared" ref="F199:I199" si="124">F135</f>
        <v>4.654729444324289</v>
      </c>
      <c r="G199" s="464">
        <f t="shared" si="124"/>
        <v>278.5554681130983</v>
      </c>
      <c r="H199" s="464">
        <f t="shared" si="124"/>
        <v>0</v>
      </c>
      <c r="I199" s="464">
        <f t="shared" si="124"/>
        <v>0</v>
      </c>
      <c r="J199" s="442">
        <f t="shared" si="113"/>
        <v>311.70270948292114</v>
      </c>
      <c r="L199" s="697">
        <f t="shared" si="118"/>
        <v>-0.35372689591164108</v>
      </c>
    </row>
    <row r="200" spans="3:12">
      <c r="D200" t="str">
        <f>A139</f>
        <v>网电分阶段</v>
      </c>
      <c r="E200" s="464">
        <f>E147</f>
        <v>40.072037010670336</v>
      </c>
      <c r="F200" s="464">
        <f t="shared" ref="F200:I200" si="125">F147</f>
        <v>2.7915891505555259</v>
      </c>
      <c r="G200" s="464">
        <f t="shared" si="125"/>
        <v>200.74487935271276</v>
      </c>
      <c r="H200" s="464">
        <f t="shared" si="125"/>
        <v>0</v>
      </c>
      <c r="I200" s="464">
        <f t="shared" si="125"/>
        <v>0</v>
      </c>
      <c r="J200" s="442">
        <f t="shared" si="113"/>
        <v>243.60850551393861</v>
      </c>
      <c r="L200" s="697">
        <f>1-J200/$J$186</f>
        <v>-5.7993324902834598E-2</v>
      </c>
    </row>
    <row r="201" spans="3:12">
      <c r="D201" t="str">
        <f>A151</f>
        <v>东北电网</v>
      </c>
      <c r="E201" s="464">
        <f>E159</f>
        <v>47.370194433908139</v>
      </c>
      <c r="F201" s="464">
        <f t="shared" ref="F201:J201" si="126">F159</f>
        <v>3.1580517088539151</v>
      </c>
      <c r="G201" s="464">
        <f t="shared" si="126"/>
        <v>228.60213396219439</v>
      </c>
      <c r="H201" s="464">
        <f t="shared" si="126"/>
        <v>0</v>
      </c>
      <c r="I201" s="464">
        <f t="shared" si="126"/>
        <v>0</v>
      </c>
      <c r="J201" s="464">
        <f t="shared" si="126"/>
        <v>279.13038010495649</v>
      </c>
      <c r="L201" s="697">
        <f t="shared" si="118"/>
        <v>-0.2122650574355156</v>
      </c>
    </row>
    <row r="202" spans="3:12">
      <c r="D202" t="str">
        <f>A163</f>
        <v>华北电网</v>
      </c>
      <c r="E202" s="464">
        <f>E171</f>
        <v>49.385947388542526</v>
      </c>
      <c r="F202" s="464">
        <f t="shared" ref="F202:J202" si="127">F171</f>
        <v>3.2924368879540822</v>
      </c>
      <c r="G202" s="464">
        <f t="shared" si="127"/>
        <v>238.32988434356437</v>
      </c>
      <c r="H202" s="464">
        <f t="shared" si="127"/>
        <v>0</v>
      </c>
      <c r="I202" s="464">
        <f t="shared" si="127"/>
        <v>0</v>
      </c>
      <c r="J202" s="464">
        <f t="shared" si="127"/>
        <v>291.00826862006096</v>
      </c>
      <c r="L202" s="697">
        <f t="shared" si="118"/>
        <v>-0.26385080456043108</v>
      </c>
    </row>
    <row r="203" spans="3:12">
      <c r="D203" t="str">
        <f>A175</f>
        <v>南方电网</v>
      </c>
      <c r="E203" s="464">
        <f>E183</f>
        <v>41.032956208698039</v>
      </c>
      <c r="F203" s="464">
        <f t="shared" ref="F203:J203" si="128">F183</f>
        <v>2.7915891505555255</v>
      </c>
      <c r="G203" s="464">
        <f t="shared" si="128"/>
        <v>200.74487935271276</v>
      </c>
      <c r="H203" s="464">
        <f t="shared" si="128"/>
        <v>0</v>
      </c>
      <c r="I203" s="464">
        <f t="shared" si="128"/>
        <v>0</v>
      </c>
      <c r="J203" s="464">
        <f t="shared" si="128"/>
        <v>244.56942471196632</v>
      </c>
      <c r="L203" s="697">
        <f>1-J203/$J$186</f>
        <v>-6.2166603233734685E-2</v>
      </c>
    </row>
    <row r="204" spans="3:12">
      <c r="D204"/>
      <c r="E204"/>
    </row>
    <row r="205" spans="3:12">
      <c r="D205"/>
      <c r="E205"/>
    </row>
    <row r="206" spans="3:12">
      <c r="D206"/>
      <c r="E206"/>
    </row>
    <row r="207" spans="3:12">
      <c r="D207"/>
      <c r="E207"/>
    </row>
    <row r="208" spans="3:12">
      <c r="D208"/>
      <c r="E208"/>
    </row>
    <row r="209" spans="4:5">
      <c r="D209"/>
      <c r="E209"/>
    </row>
  </sheetData>
  <phoneticPr fontId="6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>
      <selection activeCell="J25" sqref="J25"/>
    </sheetView>
  </sheetViews>
  <sheetFormatPr defaultRowHeight="14.4"/>
  <cols>
    <col min="5" max="5" width="16.21875" customWidth="1"/>
  </cols>
  <sheetData>
    <row r="1" spans="1:14" ht="15" thickBot="1">
      <c r="A1" s="32" t="s">
        <v>123</v>
      </c>
      <c r="F1" t="s">
        <v>65</v>
      </c>
      <c r="H1" t="s">
        <v>85</v>
      </c>
      <c r="K1" s="146" t="s">
        <v>274</v>
      </c>
      <c r="L1" s="37"/>
      <c r="M1" s="37"/>
      <c r="N1" s="38"/>
    </row>
    <row r="2" spans="1:14">
      <c r="B2" s="52" t="s">
        <v>122</v>
      </c>
      <c r="C2" s="37"/>
      <c r="D2" s="37"/>
      <c r="E2" s="37"/>
      <c r="F2" s="37"/>
      <c r="G2" s="83"/>
      <c r="H2" s="38"/>
      <c r="K2" s="147" t="s">
        <v>275</v>
      </c>
      <c r="L2" s="239" t="s">
        <v>275</v>
      </c>
      <c r="M2" s="239" t="s">
        <v>275</v>
      </c>
      <c r="N2" s="148" t="s">
        <v>276</v>
      </c>
    </row>
    <row r="3" spans="1:14">
      <c r="B3" s="39"/>
      <c r="C3" s="35"/>
      <c r="D3" s="35"/>
      <c r="E3" s="35"/>
      <c r="F3" t="s">
        <v>65</v>
      </c>
      <c r="G3" s="84"/>
      <c r="H3" s="40"/>
      <c r="K3" s="147" t="s">
        <v>278</v>
      </c>
      <c r="L3" s="239" t="s">
        <v>279</v>
      </c>
      <c r="M3" s="239" t="s">
        <v>280</v>
      </c>
      <c r="N3" s="148" t="s">
        <v>277</v>
      </c>
    </row>
    <row r="4" spans="1:14">
      <c r="A4" s="32" t="s">
        <v>124</v>
      </c>
      <c r="B4" s="53" t="s">
        <v>88</v>
      </c>
      <c r="C4" s="35"/>
      <c r="D4" s="71">
        <f>6*1.15</f>
        <v>6.8999999999999995</v>
      </c>
      <c r="E4" s="35" t="s">
        <v>63</v>
      </c>
      <c r="F4" s="77">
        <f>D4*0.725*43.07/100</f>
        <v>2.1545767499999995</v>
      </c>
      <c r="G4" s="84" t="s">
        <v>66</v>
      </c>
      <c r="H4" s="80">
        <f>1/F4</f>
        <v>0.46412827948691093</v>
      </c>
      <c r="K4" s="240">
        <f>K9*0.8</f>
        <v>0.18400000000000002</v>
      </c>
      <c r="L4" s="77">
        <v>0</v>
      </c>
      <c r="M4" s="77">
        <f>M9*0.8</f>
        <v>4.8000000000000001E-2</v>
      </c>
      <c r="N4" s="80">
        <f>N9*0.8</f>
        <v>21.92</v>
      </c>
    </row>
    <row r="5" spans="1:14">
      <c r="A5" s="32" t="s">
        <v>124</v>
      </c>
      <c r="B5" s="39" t="s">
        <v>62</v>
      </c>
      <c r="C5" s="35" t="s">
        <v>80</v>
      </c>
      <c r="D5" s="71">
        <v>24</v>
      </c>
      <c r="E5" s="35" t="s">
        <v>64</v>
      </c>
      <c r="F5" s="77">
        <f>D5*3.6/100</f>
        <v>0.8640000000000001</v>
      </c>
      <c r="G5" s="84" t="s">
        <v>66</v>
      </c>
      <c r="H5" s="80">
        <f>1/F5</f>
        <v>1.1574074074074072</v>
      </c>
      <c r="I5" s="150">
        <f>H5/H4</f>
        <v>2.4937230902777769</v>
      </c>
      <c r="K5" s="240">
        <f>K4+K7</f>
        <v>0.19400000000000003</v>
      </c>
      <c r="L5" s="77">
        <f t="shared" ref="K5:M6" si="0">L4+L7</f>
        <v>7.4999999999999997E-3</v>
      </c>
      <c r="M5" s="77">
        <f t="shared" si="0"/>
        <v>5.1750000000000004E-2</v>
      </c>
      <c r="N5" s="80">
        <f>N4+N7</f>
        <v>26.92</v>
      </c>
    </row>
    <row r="6" spans="1:14" ht="15" thickBot="1">
      <c r="B6" s="41"/>
      <c r="C6" s="42" t="s">
        <v>81</v>
      </c>
      <c r="D6" s="72">
        <v>15</v>
      </c>
      <c r="E6" s="42" t="s">
        <v>64</v>
      </c>
      <c r="F6" s="78">
        <f>D6*3.6/100</f>
        <v>0.54</v>
      </c>
      <c r="G6" s="85" t="s">
        <v>66</v>
      </c>
      <c r="H6" s="81">
        <f>1/F6</f>
        <v>1.8518518518518516</v>
      </c>
      <c r="I6" s="150">
        <f>H6/H4</f>
        <v>3.9899569444444429</v>
      </c>
      <c r="K6" s="240">
        <f t="shared" si="0"/>
        <v>0.19400000000000003</v>
      </c>
      <c r="L6" s="77">
        <f t="shared" si="0"/>
        <v>7.4999999999999997E-3</v>
      </c>
      <c r="M6" s="77">
        <f t="shared" si="0"/>
        <v>5.1750000000000004E-2</v>
      </c>
      <c r="N6" s="80">
        <f>N5+N7</f>
        <v>31.92</v>
      </c>
    </row>
    <row r="7" spans="1:14" ht="15" thickBot="1">
      <c r="D7" s="73"/>
      <c r="F7" s="20"/>
      <c r="H7" s="20"/>
      <c r="I7" s="138" t="s">
        <v>273</v>
      </c>
      <c r="J7" t="s">
        <v>355</v>
      </c>
      <c r="K7" s="240">
        <v>0.01</v>
      </c>
      <c r="L7" s="77">
        <v>7.4999999999999997E-3</v>
      </c>
      <c r="M7" s="77">
        <v>3.7499999999999999E-3</v>
      </c>
      <c r="N7" s="80">
        <v>5</v>
      </c>
    </row>
    <row r="8" spans="1:14">
      <c r="B8" s="52" t="s">
        <v>125</v>
      </c>
      <c r="C8" s="37"/>
      <c r="D8" s="74"/>
      <c r="E8" s="37"/>
      <c r="F8" s="79"/>
      <c r="G8" s="83"/>
      <c r="H8" s="82"/>
      <c r="K8" s="240"/>
      <c r="L8" s="77"/>
      <c r="M8" s="77"/>
      <c r="N8" s="80"/>
    </row>
    <row r="9" spans="1:14">
      <c r="B9" s="39" t="str">
        <f>B4</f>
        <v>gasoline vehicle</v>
      </c>
      <c r="C9" s="35"/>
      <c r="D9" s="71">
        <f>8*1.15</f>
        <v>9.1999999999999993</v>
      </c>
      <c r="E9" s="35" t="s">
        <v>63</v>
      </c>
      <c r="F9" s="77">
        <f>D9*0.725*43.07/100</f>
        <v>2.8727689999999995</v>
      </c>
      <c r="G9" s="84" t="s">
        <v>66</v>
      </c>
      <c r="H9" s="80">
        <f>1/F9</f>
        <v>0.34809620961518317</v>
      </c>
      <c r="K9" s="240">
        <v>0.23</v>
      </c>
      <c r="L9" s="77">
        <v>0</v>
      </c>
      <c r="M9" s="77">
        <v>0.06</v>
      </c>
      <c r="N9" s="80">
        <v>27.4</v>
      </c>
    </row>
    <row r="10" spans="1:14">
      <c r="B10" s="242" t="s">
        <v>62</v>
      </c>
      <c r="C10" s="243" t="s">
        <v>80</v>
      </c>
      <c r="D10" s="71">
        <v>32</v>
      </c>
      <c r="E10" s="243" t="s">
        <v>64</v>
      </c>
      <c r="F10" s="244">
        <f>D10*3.6/100</f>
        <v>1.1520000000000001</v>
      </c>
      <c r="G10" s="245" t="s">
        <v>66</v>
      </c>
      <c r="H10" s="246">
        <f>1/F10</f>
        <v>0.86805555555555547</v>
      </c>
      <c r="I10" s="247">
        <f>H10/H9</f>
        <v>2.4937230902777774</v>
      </c>
      <c r="J10" s="44"/>
      <c r="K10" s="248">
        <f>K9+K12</f>
        <v>0.25</v>
      </c>
      <c r="L10" s="248">
        <f>L9+L12</f>
        <v>1.4999999999999999E-2</v>
      </c>
      <c r="M10" s="248">
        <f>M9+M12</f>
        <v>6.7500000000000004E-2</v>
      </c>
      <c r="N10" s="248">
        <f>N9+N12</f>
        <v>37.4</v>
      </c>
    </row>
    <row r="11" spans="1:14" ht="15" thickBot="1">
      <c r="B11" s="249"/>
      <c r="C11" s="250" t="s">
        <v>81</v>
      </c>
      <c r="D11" s="72">
        <v>20</v>
      </c>
      <c r="E11" s="250" t="s">
        <v>64</v>
      </c>
      <c r="F11" s="251">
        <f>D11*3.6/100</f>
        <v>0.72</v>
      </c>
      <c r="G11" s="252" t="s">
        <v>66</v>
      </c>
      <c r="H11" s="253">
        <f>1/F11</f>
        <v>1.3888888888888888</v>
      </c>
      <c r="I11" s="247">
        <f>H11/H9</f>
        <v>3.9899569444444438</v>
      </c>
      <c r="J11" s="44"/>
      <c r="K11" s="248">
        <f>K10+K12</f>
        <v>0.27</v>
      </c>
      <c r="L11" s="248">
        <f>L10+L12</f>
        <v>0.03</v>
      </c>
      <c r="M11" s="248">
        <f>M10+M12</f>
        <v>7.5000000000000011E-2</v>
      </c>
      <c r="N11" s="248">
        <f>N10+N12</f>
        <v>47.4</v>
      </c>
    </row>
    <row r="12" spans="1:14">
      <c r="B12" s="242"/>
      <c r="C12" s="243"/>
      <c r="D12" s="71"/>
      <c r="E12" s="243"/>
      <c r="F12" s="244"/>
      <c r="G12" s="245"/>
      <c r="H12" s="246"/>
      <c r="I12" s="138" t="s">
        <v>273</v>
      </c>
      <c r="J12" t="s">
        <v>356</v>
      </c>
      <c r="K12" s="240">
        <v>0.02</v>
      </c>
      <c r="L12" s="77">
        <v>1.4999999999999999E-2</v>
      </c>
      <c r="M12" s="77">
        <v>7.4999999999999997E-3</v>
      </c>
      <c r="N12" s="80">
        <v>10</v>
      </c>
    </row>
    <row r="13" spans="1:14">
      <c r="A13" s="32" t="s">
        <v>124</v>
      </c>
      <c r="B13" s="53" t="s">
        <v>126</v>
      </c>
      <c r="C13" s="35"/>
      <c r="D13" s="71">
        <f>D9*0.74*0.85/0.84</f>
        <v>6.8890476190476191</v>
      </c>
      <c r="E13" s="35" t="s">
        <v>63</v>
      </c>
      <c r="F13" s="77">
        <f>D13*0.84*43.07/100</f>
        <v>2.4923747599999997</v>
      </c>
      <c r="G13" s="84" t="s">
        <v>66</v>
      </c>
      <c r="H13" s="80">
        <f>1/F13</f>
        <v>0.40122377101909029</v>
      </c>
      <c r="I13" s="150">
        <f>H13/H9</f>
        <v>1.1526232114467407</v>
      </c>
      <c r="K13" s="240">
        <v>0.23</v>
      </c>
      <c r="L13" s="77">
        <v>0</v>
      </c>
      <c r="M13" s="77">
        <v>0.06</v>
      </c>
      <c r="N13" s="80">
        <v>27.4</v>
      </c>
    </row>
    <row r="14" spans="1:14">
      <c r="B14" s="53" t="s">
        <v>127</v>
      </c>
      <c r="C14" s="35"/>
      <c r="D14" s="75">
        <f>D13</f>
        <v>6.8890476190476191</v>
      </c>
      <c r="E14" s="35" t="s">
        <v>63</v>
      </c>
      <c r="F14" s="77">
        <f>D14*0.84*43.07/100</f>
        <v>2.4923747599999997</v>
      </c>
      <c r="G14" s="84" t="s">
        <v>66</v>
      </c>
      <c r="H14" s="80">
        <f>1/F14</f>
        <v>0.40122377101909029</v>
      </c>
      <c r="K14" s="240">
        <v>0.23</v>
      </c>
      <c r="L14" s="77">
        <v>0</v>
      </c>
      <c r="M14" s="77">
        <v>0.06</v>
      </c>
      <c r="N14" s="80">
        <v>27.4</v>
      </c>
    </row>
    <row r="15" spans="1:14">
      <c r="B15" s="53"/>
      <c r="C15" s="35"/>
      <c r="D15" s="75"/>
      <c r="E15" s="35"/>
      <c r="F15" s="77"/>
      <c r="G15" s="84"/>
      <c r="H15" s="80"/>
      <c r="K15" s="240"/>
      <c r="L15" s="77"/>
      <c r="M15" s="77"/>
      <c r="N15" s="80"/>
    </row>
    <row r="16" spans="1:14">
      <c r="B16" s="53" t="s">
        <v>89</v>
      </c>
      <c r="C16" s="35"/>
      <c r="D16" s="75">
        <v>7.35</v>
      </c>
      <c r="E16" s="54" t="s">
        <v>90</v>
      </c>
      <c r="F16" s="77">
        <f>D16*38.9/100</f>
        <v>2.8591499999999996</v>
      </c>
      <c r="G16" s="84" t="s">
        <v>66</v>
      </c>
      <c r="H16" s="80">
        <f>1/F16</f>
        <v>0.34975429760593185</v>
      </c>
      <c r="K16" s="240">
        <v>0.23</v>
      </c>
      <c r="L16" s="77">
        <v>0</v>
      </c>
      <c r="M16" s="77">
        <v>0.06</v>
      </c>
      <c r="N16" s="80">
        <v>27.4</v>
      </c>
    </row>
    <row r="17" spans="2:14" ht="15" thickBot="1">
      <c r="B17" s="55" t="s">
        <v>133</v>
      </c>
      <c r="C17" s="42"/>
      <c r="D17" s="76">
        <f>D16</f>
        <v>7.35</v>
      </c>
      <c r="E17" s="56" t="s">
        <v>90</v>
      </c>
      <c r="F17" s="78">
        <f>D17*38.9/100</f>
        <v>2.8591499999999996</v>
      </c>
      <c r="G17" s="85" t="s">
        <v>66</v>
      </c>
      <c r="H17" s="81">
        <f>1/F17</f>
        <v>0.34975429760593185</v>
      </c>
      <c r="K17" s="241">
        <v>0.23</v>
      </c>
      <c r="L17" s="78">
        <v>0</v>
      </c>
      <c r="M17" s="78">
        <v>0.06</v>
      </c>
      <c r="N17" s="81">
        <v>27.4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3"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4.4"/>
  <cols>
    <col min="1" max="3" width="11.88671875" customWidth="1"/>
    <col min="4" max="5" width="14.44140625" style="58" customWidth="1"/>
    <col min="6" max="8" width="14.44140625" style="61" customWidth="1"/>
    <col min="14" max="14" width="11.33203125" customWidth="1"/>
  </cols>
  <sheetData>
    <row r="1" spans="1:17" ht="15" thickBot="1">
      <c r="B1" s="62"/>
      <c r="C1" s="62"/>
      <c r="E1" s="223"/>
      <c r="F1" s="224"/>
      <c r="G1" s="224"/>
      <c r="H1" s="224"/>
      <c r="J1" s="37"/>
      <c r="K1" s="37"/>
      <c r="L1" s="38"/>
    </row>
    <row r="2" spans="1:17" ht="15" thickBot="1">
      <c r="A2" s="52" t="s">
        <v>134</v>
      </c>
      <c r="B2" s="62"/>
      <c r="C2" s="62"/>
      <c r="D2" s="223" t="s">
        <v>135</v>
      </c>
      <c r="E2" s="223"/>
      <c r="F2" s="224"/>
      <c r="G2" s="224"/>
      <c r="H2" s="224"/>
      <c r="I2" s="62" t="s">
        <v>117</v>
      </c>
      <c r="J2" s="37"/>
      <c r="K2" s="37"/>
      <c r="L2" s="38"/>
      <c r="N2" s="233" t="s">
        <v>116</v>
      </c>
    </row>
    <row r="3" spans="1:17" ht="58.2" thickBot="1">
      <c r="A3" s="39"/>
      <c r="B3" s="35"/>
      <c r="C3" s="22"/>
      <c r="D3" s="94"/>
      <c r="E3" s="94"/>
      <c r="F3" s="97"/>
      <c r="G3" s="97"/>
      <c r="H3" s="97"/>
      <c r="I3" s="1" t="s">
        <v>113</v>
      </c>
      <c r="J3" s="2" t="s">
        <v>114</v>
      </c>
      <c r="K3" s="2" t="s">
        <v>115</v>
      </c>
      <c r="L3" s="225" t="s">
        <v>120</v>
      </c>
      <c r="M3" s="30"/>
      <c r="N3" s="234" t="s">
        <v>166</v>
      </c>
      <c r="P3" s="201" t="s">
        <v>336</v>
      </c>
    </row>
    <row r="4" spans="1:17" ht="15" thickBot="1">
      <c r="A4" s="39"/>
      <c r="B4" s="35"/>
      <c r="C4" s="22"/>
      <c r="D4" s="94"/>
      <c r="E4" s="94"/>
      <c r="F4" s="97"/>
      <c r="G4" s="97"/>
      <c r="H4" s="97"/>
      <c r="I4" s="30" t="s">
        <v>137</v>
      </c>
      <c r="J4" s="30" t="s">
        <v>138</v>
      </c>
      <c r="K4" s="30" t="s">
        <v>138</v>
      </c>
      <c r="L4" s="225" t="s">
        <v>138</v>
      </c>
      <c r="M4" s="30"/>
      <c r="N4" s="235" t="s">
        <v>139</v>
      </c>
    </row>
    <row r="5" spans="1:17">
      <c r="A5" s="39"/>
      <c r="B5" s="35"/>
      <c r="C5" s="22"/>
      <c r="D5" s="94"/>
      <c r="E5" s="94"/>
      <c r="F5" s="97"/>
      <c r="G5" s="96" t="s">
        <v>140</v>
      </c>
      <c r="H5" s="97"/>
      <c r="I5" s="30"/>
      <c r="J5" s="30"/>
      <c r="K5" s="30"/>
      <c r="L5" s="225"/>
      <c r="M5" s="30"/>
      <c r="N5" s="234"/>
      <c r="O5" s="37"/>
      <c r="P5" s="202" t="s">
        <v>337</v>
      </c>
      <c r="Q5" s="203" t="s">
        <v>338</v>
      </c>
    </row>
    <row r="6" spans="1:17" ht="27.6">
      <c r="A6" s="226" t="s">
        <v>6</v>
      </c>
      <c r="B6" s="22"/>
      <c r="C6" s="22" t="str">
        <f>Vehicle!B4</f>
        <v>gasoline vehicle</v>
      </c>
      <c r="D6" s="30"/>
      <c r="E6" s="30">
        <f>Vehicle!D4</f>
        <v>6.8999999999999995</v>
      </c>
      <c r="F6" s="227" t="str">
        <f>Vehicle!E4</f>
        <v>liter/100km</v>
      </c>
      <c r="G6" s="96">
        <f>Vehicle!F4</f>
        <v>2.1545767499999995</v>
      </c>
      <c r="H6" s="227"/>
      <c r="I6" s="77">
        <f>G6*WTPs!B5</f>
        <v>0.15999896730227761</v>
      </c>
      <c r="J6" s="77">
        <f>G6*WTPs!C5</f>
        <v>0.10810857426637582</v>
      </c>
      <c r="K6" s="77">
        <f>WTPs!D5*'WTW-micro EV'!G6</f>
        <v>2.4856301760544546</v>
      </c>
      <c r="L6" s="80">
        <f>SUM(I6:K6)</f>
        <v>2.7537377176231081</v>
      </c>
      <c r="M6" s="20"/>
      <c r="N6" s="236">
        <f>G6*WTPs!G5</f>
        <v>196.06954655723766</v>
      </c>
      <c r="O6" s="35"/>
      <c r="P6" s="35"/>
      <c r="Q6" s="40"/>
    </row>
    <row r="7" spans="1:17">
      <c r="A7" s="226"/>
      <c r="B7" s="22"/>
      <c r="C7" s="22"/>
      <c r="D7" s="30"/>
      <c r="E7" s="30"/>
      <c r="F7" s="227"/>
      <c r="G7" s="227"/>
      <c r="H7" s="227"/>
      <c r="I7" s="77"/>
      <c r="J7" s="77"/>
      <c r="K7" s="77"/>
      <c r="L7" s="80"/>
      <c r="M7" s="20"/>
      <c r="N7" s="236"/>
      <c r="O7" s="35"/>
      <c r="P7" s="35"/>
      <c r="Q7" s="40"/>
    </row>
    <row r="8" spans="1:17">
      <c r="A8" s="53" t="s">
        <v>304</v>
      </c>
      <c r="B8" s="22"/>
      <c r="C8" s="22" t="s">
        <v>327</v>
      </c>
      <c r="D8" s="30" t="str">
        <f>D19</f>
        <v>worst</v>
      </c>
      <c r="E8" s="30">
        <f>E19</f>
        <v>24</v>
      </c>
      <c r="F8" s="30" t="str">
        <f>F19</f>
        <v>kWh/100km</v>
      </c>
      <c r="G8" s="30">
        <f>G19</f>
        <v>0.8640000000000001</v>
      </c>
      <c r="H8" s="227"/>
      <c r="I8" s="77">
        <f>G8*WTPs!B15</f>
        <v>2.0799270486068822</v>
      </c>
      <c r="J8" s="77">
        <f>G8*WTPs!C15</f>
        <v>0.16172213082211406</v>
      </c>
      <c r="K8" s="77">
        <f>WTPs!D15*'WTW-micro EV'!G8</f>
        <v>5.8798971016474987E-2</v>
      </c>
      <c r="L8" s="80">
        <f>SUM(I8:K8)</f>
        <v>2.3004481504454715</v>
      </c>
      <c r="M8" s="20"/>
      <c r="N8" s="236">
        <f>G8*WTPs!G15</f>
        <v>204.8226097575803</v>
      </c>
      <c r="O8" s="35"/>
      <c r="P8" s="64">
        <f>1-L8/$L$6</f>
        <v>0.16460883848041052</v>
      </c>
      <c r="Q8" s="65">
        <f>1-N8/$N$6</f>
        <v>-4.4642645194201025E-2</v>
      </c>
    </row>
    <row r="9" spans="1:17">
      <c r="A9" s="53" t="s">
        <v>305</v>
      </c>
      <c r="B9" s="22"/>
      <c r="C9" s="22" t="s">
        <v>327</v>
      </c>
      <c r="D9" s="30" t="str">
        <f t="shared" ref="D9:G10" si="0">D8</f>
        <v>worst</v>
      </c>
      <c r="E9" s="30">
        <f t="shared" si="0"/>
        <v>24</v>
      </c>
      <c r="F9" s="30" t="str">
        <f t="shared" si="0"/>
        <v>kWh/100km</v>
      </c>
      <c r="G9" s="30">
        <f t="shared" si="0"/>
        <v>0.8640000000000001</v>
      </c>
      <c r="H9" s="227"/>
      <c r="I9" s="77">
        <f>G9*WTPs!B16</f>
        <v>2.668472149494157</v>
      </c>
      <c r="J9" s="77">
        <f>G9*WTPs!C16</f>
        <v>6.7880934347885275E-3</v>
      </c>
      <c r="K9" s="77">
        <f>WTPs!D16*'WTW-micro EV'!G9</f>
        <v>3.669327955441222E-2</v>
      </c>
      <c r="L9" s="80">
        <f>SUM(I9:K9)</f>
        <v>2.7119535224833577</v>
      </c>
      <c r="M9" s="20"/>
      <c r="N9" s="236">
        <f>G9*WTPs!G16</f>
        <v>248.17216044585831</v>
      </c>
      <c r="O9" s="35"/>
      <c r="P9" s="64">
        <f>1-L9/$L$6</f>
        <v>1.5173629235763375E-2</v>
      </c>
      <c r="Q9" s="65">
        <f>1-N9/$N$6</f>
        <v>-0.26573537198144437</v>
      </c>
    </row>
    <row r="10" spans="1:17">
      <c r="A10" s="53" t="s">
        <v>306</v>
      </c>
      <c r="B10" s="22"/>
      <c r="C10" s="22" t="s">
        <v>327</v>
      </c>
      <c r="D10" s="30" t="str">
        <f t="shared" si="0"/>
        <v>worst</v>
      </c>
      <c r="E10" s="30">
        <f t="shared" si="0"/>
        <v>24</v>
      </c>
      <c r="F10" s="30" t="str">
        <f t="shared" si="0"/>
        <v>kWh/100km</v>
      </c>
      <c r="G10" s="30">
        <f t="shared" si="0"/>
        <v>0.8640000000000001</v>
      </c>
      <c r="H10" s="227"/>
      <c r="I10" s="77">
        <f>G10*WTPs!B17</f>
        <v>1.7721513971134717</v>
      </c>
      <c r="J10" s="77">
        <f>G10*WTPs!C17</f>
        <v>4.718306870012799E-3</v>
      </c>
      <c r="K10" s="77">
        <f>WTPs!D17*'WTW-micro EV'!G10</f>
        <v>2.4596579296293823E-2</v>
      </c>
      <c r="L10" s="80">
        <f>SUM(I10:K10)</f>
        <v>1.8014662832797783</v>
      </c>
      <c r="M10" s="20"/>
      <c r="N10" s="236">
        <f>G10*WTPs!G17</f>
        <v>166.12347784674276</v>
      </c>
      <c r="O10" s="35"/>
      <c r="P10" s="64">
        <f>1-L10/$L$6</f>
        <v>0.34581050629806676</v>
      </c>
      <c r="Q10" s="65">
        <f>1-N10/$N$6</f>
        <v>0.15273187109530484</v>
      </c>
    </row>
    <row r="11" spans="1:17">
      <c r="A11" s="53"/>
      <c r="B11" s="22"/>
      <c r="C11" s="22"/>
      <c r="D11" s="30"/>
      <c r="E11" s="30"/>
      <c r="F11" s="30"/>
      <c r="G11" s="30"/>
      <c r="H11" s="227"/>
      <c r="I11" s="77"/>
      <c r="J11" s="77"/>
      <c r="K11" s="77"/>
      <c r="L11" s="80"/>
      <c r="M11" s="20"/>
      <c r="N11" s="236"/>
      <c r="O11" s="35"/>
      <c r="P11" s="35"/>
      <c r="Q11" s="40"/>
    </row>
    <row r="12" spans="1:17">
      <c r="A12" s="147" t="s">
        <v>323</v>
      </c>
      <c r="B12" s="22"/>
      <c r="C12" s="22" t="s">
        <v>327</v>
      </c>
      <c r="D12" s="30" t="str">
        <f>D10</f>
        <v>worst</v>
      </c>
      <c r="E12" s="30">
        <f>E10</f>
        <v>24</v>
      </c>
      <c r="F12" s="30" t="str">
        <f>F10</f>
        <v>kWh/100km</v>
      </c>
      <c r="G12" s="30">
        <f>G10</f>
        <v>0.8640000000000001</v>
      </c>
      <c r="H12" s="227"/>
      <c r="I12" s="77">
        <f>G12*WTPs!B19</f>
        <v>0.15219199461624575</v>
      </c>
      <c r="J12" s="77">
        <f>G12*WTPs!C19</f>
        <v>1.1941249574541058E-3</v>
      </c>
      <c r="K12" s="77">
        <f>WTPs!D19*'WTW-micro EV'!G12</f>
        <v>2.0123937108432178E-2</v>
      </c>
      <c r="L12" s="80">
        <f>SUM(I12:K12)</f>
        <v>0.17351005668213204</v>
      </c>
      <c r="M12" s="20"/>
      <c r="N12" s="236">
        <f>G12*WTPs!G19</f>
        <v>17.752620504597541</v>
      </c>
      <c r="O12" s="35"/>
      <c r="P12" s="64">
        <f>1-L12/$L$6</f>
        <v>0.93699107377884283</v>
      </c>
      <c r="Q12" s="65">
        <f>1-N12/$N$6</f>
        <v>0.90945753271574425</v>
      </c>
    </row>
    <row r="13" spans="1:17">
      <c r="A13" s="147" t="s">
        <v>324</v>
      </c>
      <c r="B13" s="22"/>
      <c r="C13" s="22" t="s">
        <v>327</v>
      </c>
      <c r="D13" s="30" t="str">
        <f t="shared" ref="D13:G14" si="1">D12</f>
        <v>worst</v>
      </c>
      <c r="E13" s="30">
        <f t="shared" si="1"/>
        <v>24</v>
      </c>
      <c r="F13" s="30" t="str">
        <f t="shared" si="1"/>
        <v>kWh/100km</v>
      </c>
      <c r="G13" s="30">
        <f t="shared" si="1"/>
        <v>0.8640000000000001</v>
      </c>
      <c r="H13" s="227"/>
      <c r="I13" s="77">
        <f>G13*WTPs!B20</f>
        <v>0.23977325805629468</v>
      </c>
      <c r="J13" s="77">
        <f>G13*WTPs!C20</f>
        <v>1.8813028392003345E-3</v>
      </c>
      <c r="K13" s="77">
        <f>WTPs!D20*'WTW-micro EV'!G13</f>
        <v>3.1704571436727121E-2</v>
      </c>
      <c r="L13" s="80">
        <f>SUM(I13:K13)</f>
        <v>0.27335913233222214</v>
      </c>
      <c r="M13" s="20"/>
      <c r="N13" s="236">
        <f>G13*WTPs!G20</f>
        <v>27.968643608078214</v>
      </c>
      <c r="O13" s="35"/>
      <c r="P13" s="64">
        <f>1-L13/$L$6</f>
        <v>0.90073160178516476</v>
      </c>
      <c r="Q13" s="65">
        <f>1-N13/$N$6</f>
        <v>0.85735345391889572</v>
      </c>
    </row>
    <row r="14" spans="1:17">
      <c r="A14" s="147" t="s">
        <v>325</v>
      </c>
      <c r="B14" s="22"/>
      <c r="C14" s="22" t="s">
        <v>327</v>
      </c>
      <c r="D14" s="30" t="str">
        <f t="shared" si="1"/>
        <v>worst</v>
      </c>
      <c r="E14" s="30">
        <f t="shared" si="1"/>
        <v>24</v>
      </c>
      <c r="F14" s="30" t="str">
        <f t="shared" si="1"/>
        <v>kWh/100km</v>
      </c>
      <c r="G14" s="30">
        <f t="shared" si="1"/>
        <v>0.8640000000000001</v>
      </c>
      <c r="H14" s="227"/>
      <c r="I14" s="77">
        <f>G14*WTPs!B21</f>
        <v>0.44280270761908536</v>
      </c>
      <c r="J14" s="77">
        <f>G14*WTPs!C21</f>
        <v>3.4743073427053982E-3</v>
      </c>
      <c r="K14" s="77">
        <f>WTPs!D21*'WTW-micro EV'!G14</f>
        <v>5.855060814492246E-2</v>
      </c>
      <c r="L14" s="80">
        <f>SUM(I14:K14)</f>
        <v>0.50482762310671314</v>
      </c>
      <c r="M14" s="20"/>
      <c r="N14" s="236">
        <f>G14*WTPs!G21</f>
        <v>51.651260939126765</v>
      </c>
      <c r="O14" s="35"/>
      <c r="P14" s="64">
        <f>1-L14/$L$6</f>
        <v>0.8166754880553927</v>
      </c>
      <c r="Q14" s="65">
        <f>1-N14/$N$6</f>
        <v>0.73656663237068054</v>
      </c>
    </row>
    <row r="15" spans="1:17">
      <c r="A15" s="53"/>
      <c r="B15" s="22"/>
      <c r="C15" s="22"/>
      <c r="D15" s="30"/>
      <c r="E15" s="30"/>
      <c r="F15" s="30"/>
      <c r="G15" s="30"/>
      <c r="H15" s="227"/>
      <c r="I15" s="77"/>
      <c r="J15" s="77"/>
      <c r="K15" s="77"/>
      <c r="L15" s="80"/>
      <c r="M15" s="20"/>
      <c r="N15" s="236"/>
      <c r="O15" s="35"/>
      <c r="P15" s="35"/>
      <c r="Q15" s="40"/>
    </row>
    <row r="16" spans="1:17">
      <c r="A16" s="53" t="s">
        <v>302</v>
      </c>
      <c r="B16" s="22"/>
      <c r="C16" s="22" t="str">
        <f>C17</f>
        <v>BEV</v>
      </c>
      <c r="D16" s="30" t="str">
        <f>D14</f>
        <v>worst</v>
      </c>
      <c r="E16" s="30">
        <f>E14</f>
        <v>24</v>
      </c>
      <c r="F16" s="30" t="str">
        <f>F14</f>
        <v>kWh/100km</v>
      </c>
      <c r="G16" s="30">
        <f>G14</f>
        <v>0.8640000000000001</v>
      </c>
      <c r="H16" s="227"/>
      <c r="I16" s="77">
        <f>G16*WTPs!B23</f>
        <v>2.7594299294887237</v>
      </c>
      <c r="J16" s="77">
        <f>G16*WTPs!C23</f>
        <v>7.0194729938147489E-3</v>
      </c>
      <c r="K16" s="77">
        <f>WTPs!D23*'WTW-micro EV'!G16</f>
        <v>3.7944009958184421E-2</v>
      </c>
      <c r="L16" s="80">
        <f>SUM(I16:K16)</f>
        <v>2.804393412440723</v>
      </c>
      <c r="M16" s="20"/>
      <c r="N16" s="236">
        <f>G16*WTPs!G23</f>
        <v>254.29350345769916</v>
      </c>
      <c r="O16" s="35"/>
      <c r="P16" s="64">
        <f>1-L16/$L$6</f>
        <v>-1.839525038765788E-2</v>
      </c>
      <c r="Q16" s="65">
        <f>1-N16/$N$6</f>
        <v>-0.29695563601185992</v>
      </c>
    </row>
    <row r="17" spans="1:17">
      <c r="A17" s="53" t="s">
        <v>303</v>
      </c>
      <c r="B17" s="22"/>
      <c r="C17" s="22" t="str">
        <f>C19</f>
        <v>BEV</v>
      </c>
      <c r="D17" s="30" t="str">
        <f>D16</f>
        <v>worst</v>
      </c>
      <c r="E17" s="30">
        <f>E16</f>
        <v>24</v>
      </c>
      <c r="F17" s="30" t="str">
        <f>F16</f>
        <v>kWh/100km</v>
      </c>
      <c r="G17" s="30">
        <f>G16</f>
        <v>0.8640000000000001</v>
      </c>
      <c r="H17" s="227"/>
      <c r="I17" s="77">
        <f>G17*WTPs!B24</f>
        <v>3.7754228488618722</v>
      </c>
      <c r="J17" s="77">
        <f>G17*WTPs!C24</f>
        <v>1.0833679713867311E-2</v>
      </c>
      <c r="K17" s="77">
        <f>WTPs!D24*'WTW-micro EV'!G17</f>
        <v>5.2151985265549761E-2</v>
      </c>
      <c r="L17" s="80">
        <f>SUM(I17:K17)</f>
        <v>3.8384085138412893</v>
      </c>
      <c r="M17" s="20"/>
      <c r="N17" s="236">
        <f>G17*WTPs!G24</f>
        <v>88.90083621748235</v>
      </c>
      <c r="O17" s="35"/>
      <c r="P17" s="64">
        <f>1-L17/$L$6</f>
        <v>-0.39389038007382049</v>
      </c>
      <c r="Q17" s="65">
        <f>1-N17/$N$6</f>
        <v>0.54658518990591975</v>
      </c>
    </row>
    <row r="18" spans="1:17">
      <c r="A18" s="226"/>
      <c r="B18" s="22"/>
      <c r="C18" s="22"/>
      <c r="D18" s="30"/>
      <c r="E18" s="30"/>
      <c r="F18" s="227"/>
      <c r="G18" s="227"/>
      <c r="H18" s="227"/>
      <c r="I18" s="77"/>
      <c r="J18" s="77"/>
      <c r="K18" s="77"/>
      <c r="L18" s="80"/>
      <c r="M18" s="20"/>
      <c r="N18" s="236"/>
      <c r="O18" s="35"/>
      <c r="P18" s="35"/>
      <c r="Q18" s="40"/>
    </row>
    <row r="19" spans="1:17">
      <c r="A19" s="53" t="s">
        <v>104</v>
      </c>
      <c r="B19" s="54"/>
      <c r="C19" s="54" t="str">
        <f>Vehicle!B5</f>
        <v>BEV</v>
      </c>
      <c r="D19" s="228" t="s">
        <v>328</v>
      </c>
      <c r="E19" s="95">
        <f>Vehicle!D5</f>
        <v>24</v>
      </c>
      <c r="F19" s="96" t="str">
        <f>Vehicle!E5</f>
        <v>kWh/100km</v>
      </c>
      <c r="G19" s="96">
        <f>Vehicle!F5</f>
        <v>0.8640000000000001</v>
      </c>
      <c r="H19" s="96"/>
      <c r="I19" s="77">
        <f>G19*WTPs!B26</f>
        <v>2.1845486941785732</v>
      </c>
      <c r="J19" s="77">
        <f>G19*WTPs!C26</f>
        <v>5.5570827867700099E-3</v>
      </c>
      <c r="K19" s="77">
        <f>WTPs!D26*'WTW-micro EV'!G19</f>
        <v>3.0039007883562664E-2</v>
      </c>
      <c r="L19" s="80">
        <f>SUM(I19:K19)</f>
        <v>2.2201447848489058</v>
      </c>
      <c r="M19" s="20"/>
      <c r="N19" s="236">
        <f>G19*WTPs!G26</f>
        <v>201.31569023734519</v>
      </c>
      <c r="O19" s="35"/>
      <c r="P19" s="64">
        <f>1-L19/$L$6</f>
        <v>0.19377042677643741</v>
      </c>
      <c r="Q19" s="65">
        <f>1-N19/$N$6</f>
        <v>-2.6756545176055857E-2</v>
      </c>
    </row>
    <row r="20" spans="1:17">
      <c r="A20" s="53" t="s">
        <v>109</v>
      </c>
      <c r="B20" s="54"/>
      <c r="C20" s="22" t="str">
        <f t="shared" ref="C20:E22" si="2">C19</f>
        <v>BEV</v>
      </c>
      <c r="D20" s="30" t="str">
        <f t="shared" si="2"/>
        <v>worst</v>
      </c>
      <c r="E20" s="30">
        <f t="shared" si="2"/>
        <v>24</v>
      </c>
      <c r="F20" s="227" t="str">
        <f t="shared" ref="F20:G22" si="3">F19</f>
        <v>kWh/100km</v>
      </c>
      <c r="G20" s="227">
        <f t="shared" si="3"/>
        <v>0.8640000000000001</v>
      </c>
      <c r="H20" s="227"/>
      <c r="I20" s="77">
        <f>G20*WTPs!B27</f>
        <v>2.7868720193548642</v>
      </c>
      <c r="J20" s="77">
        <f>G20*WTPs!C27</f>
        <v>7.9970059169215523E-3</v>
      </c>
      <c r="K20" s="77">
        <f>WTPs!D27*'WTW-micro EV'!G20</f>
        <v>3.8496590794904417E-2</v>
      </c>
      <c r="L20" s="80">
        <f>SUM(I20:K20)</f>
        <v>2.8333656160666902</v>
      </c>
      <c r="M20" s="20"/>
      <c r="N20" s="236">
        <f>G20*WTPs!G27</f>
        <v>65.623179937695866</v>
      </c>
      <c r="O20" s="35"/>
      <c r="P20" s="64">
        <f>1-L20/$L$6</f>
        <v>-2.8916297268976265E-2</v>
      </c>
      <c r="Q20" s="65">
        <f>1-N20/$N$6</f>
        <v>0.66530661650436973</v>
      </c>
    </row>
    <row r="21" spans="1:17">
      <c r="A21" s="53" t="s">
        <v>107</v>
      </c>
      <c r="B21" s="54"/>
      <c r="C21" s="22" t="str">
        <f t="shared" si="2"/>
        <v>BEV</v>
      </c>
      <c r="D21" s="30" t="str">
        <f t="shared" si="2"/>
        <v>worst</v>
      </c>
      <c r="E21" s="30">
        <f t="shared" si="2"/>
        <v>24</v>
      </c>
      <c r="F21" s="227" t="str">
        <f t="shared" si="3"/>
        <v>kWh/100km</v>
      </c>
      <c r="G21" s="227">
        <f t="shared" si="3"/>
        <v>0.8640000000000001</v>
      </c>
      <c r="H21" s="227"/>
      <c r="I21" s="77">
        <f>G21*WTPs!B28</f>
        <v>2.4657282290728451</v>
      </c>
      <c r="J21" s="77">
        <f>G21*WTPs!C28</f>
        <v>6.2723508682354569E-3</v>
      </c>
      <c r="K21" s="77">
        <f>WTPs!D28*'WTW-micro EV'!G21</f>
        <v>3.3905414838872709E-2</v>
      </c>
      <c r="L21" s="80">
        <f>SUM(I21:K21)</f>
        <v>2.5059059947799533</v>
      </c>
      <c r="M21" s="20"/>
      <c r="N21" s="236">
        <f>G21*WTPs!G28</f>
        <v>227.22761076294407</v>
      </c>
      <c r="O21" s="35"/>
      <c r="P21" s="64">
        <f>1-L21/$L$6</f>
        <v>8.9998303490236187E-2</v>
      </c>
      <c r="Q21" s="65">
        <f>1-N21/$N$6</f>
        <v>-0.15891332821851845</v>
      </c>
    </row>
    <row r="22" spans="1:17">
      <c r="A22" s="53" t="s">
        <v>111</v>
      </c>
      <c r="B22" s="54"/>
      <c r="C22" s="22" t="str">
        <f t="shared" si="2"/>
        <v>BEV</v>
      </c>
      <c r="D22" s="30" t="str">
        <f t="shared" si="2"/>
        <v>worst</v>
      </c>
      <c r="E22" s="30">
        <f t="shared" si="2"/>
        <v>24</v>
      </c>
      <c r="F22" s="227" t="str">
        <f t="shared" si="3"/>
        <v>kWh/100km</v>
      </c>
      <c r="G22" s="227">
        <f t="shared" si="3"/>
        <v>0.8640000000000001</v>
      </c>
      <c r="H22" s="227"/>
      <c r="I22" s="77">
        <f>G22*WTPs!B29</f>
        <v>3.0496783043273643</v>
      </c>
      <c r="J22" s="77">
        <f>G22*WTPs!C29</f>
        <v>8.7071707209385001E-3</v>
      </c>
      <c r="K22" s="77">
        <f>WTPs!D29*'WTW-micro EV'!G22</f>
        <v>4.2118390737855602E-2</v>
      </c>
      <c r="L22" s="80">
        <f>SUM(I22:K22)</f>
        <v>3.1005038657861586</v>
      </c>
      <c r="M22" s="20"/>
      <c r="N22" s="236">
        <f>G22*WTPs!G29</f>
        <v>81.072150284191736</v>
      </c>
      <c r="O22" s="35"/>
      <c r="P22" s="64">
        <f>1-L22/$L$6</f>
        <v>-0.12592562681037101</v>
      </c>
      <c r="Q22" s="65">
        <f>1-N22/$N$6</f>
        <v>0.58651329741039249</v>
      </c>
    </row>
    <row r="23" spans="1:17" s="154" customFormat="1">
      <c r="A23" s="167"/>
      <c r="B23" s="168"/>
      <c r="C23" s="168"/>
      <c r="D23" s="229"/>
      <c r="E23" s="229"/>
      <c r="F23" s="230"/>
      <c r="G23" s="230"/>
      <c r="H23" s="230"/>
      <c r="I23" s="168"/>
      <c r="J23" s="168"/>
      <c r="K23" s="168"/>
      <c r="L23" s="169"/>
      <c r="N23" s="237"/>
      <c r="O23" s="168"/>
      <c r="P23" s="168"/>
      <c r="Q23" s="169"/>
    </row>
    <row r="24" spans="1:17">
      <c r="A24" s="53" t="s">
        <v>304</v>
      </c>
      <c r="B24" s="22"/>
      <c r="C24" s="22" t="s">
        <v>327</v>
      </c>
      <c r="D24" s="30" t="str">
        <f>D35</f>
        <v>best</v>
      </c>
      <c r="E24" s="30">
        <f>E35</f>
        <v>15</v>
      </c>
      <c r="F24" s="30" t="str">
        <f>F35</f>
        <v>kWh/100km</v>
      </c>
      <c r="G24" s="30">
        <f>G35</f>
        <v>0.54</v>
      </c>
      <c r="H24" s="227"/>
      <c r="I24" s="77">
        <f>G24*WTPs!B15</f>
        <v>1.2999544053793013</v>
      </c>
      <c r="J24" s="77">
        <f>G24*WTPs!C15</f>
        <v>0.10107633176382128</v>
      </c>
      <c r="K24" s="77">
        <f>WTPs!D15*'WTW-micro EV'!G24</f>
        <v>3.6749356885296861E-2</v>
      </c>
      <c r="L24" s="80">
        <f>SUM(I24:K24)</f>
        <v>1.4377800940284193</v>
      </c>
      <c r="M24" s="20"/>
      <c r="N24" s="236">
        <f>G24*WTPs!G15</f>
        <v>128.0141310984877</v>
      </c>
      <c r="O24" s="35"/>
      <c r="P24" s="64">
        <f>1-L24/$L$6</f>
        <v>0.47788052405025672</v>
      </c>
      <c r="Q24" s="65">
        <f>1-N24/$N$6</f>
        <v>0.34709834675362428</v>
      </c>
    </row>
    <row r="25" spans="1:17">
      <c r="A25" s="53" t="s">
        <v>305</v>
      </c>
      <c r="B25" s="22"/>
      <c r="C25" s="22" t="s">
        <v>327</v>
      </c>
      <c r="D25" s="30" t="str">
        <f t="shared" ref="D25:G26" si="4">D24</f>
        <v>best</v>
      </c>
      <c r="E25" s="30">
        <f t="shared" si="4"/>
        <v>15</v>
      </c>
      <c r="F25" s="30" t="str">
        <f t="shared" si="4"/>
        <v>kWh/100km</v>
      </c>
      <c r="G25" s="30">
        <f t="shared" si="4"/>
        <v>0.54</v>
      </c>
      <c r="H25" s="227"/>
      <c r="I25" s="77">
        <f>G25*WTPs!B16</f>
        <v>1.6677950934338481</v>
      </c>
      <c r="J25" s="77">
        <f>G25*WTPs!C16</f>
        <v>4.2425583967428291E-3</v>
      </c>
      <c r="K25" s="77">
        <f>WTPs!D16*'WTW-micro EV'!G25</f>
        <v>2.2933299721507636E-2</v>
      </c>
      <c r="L25" s="80">
        <f t="shared" ref="L25:L33" si="5">SUM(I25:K25)</f>
        <v>1.6949709515520988</v>
      </c>
      <c r="M25" s="20"/>
      <c r="N25" s="236">
        <f>G25*WTPs!G16</f>
        <v>155.10760027866144</v>
      </c>
      <c r="O25" s="35"/>
      <c r="P25" s="64">
        <f t="shared" ref="P25:P33" si="6">1-L25/$L$6</f>
        <v>0.38448351827235205</v>
      </c>
      <c r="Q25" s="65">
        <f t="shared" ref="Q25:Q33" si="7">1-N25/$N$6</f>
        <v>0.20891539251159741</v>
      </c>
    </row>
    <row r="26" spans="1:17">
      <c r="A26" s="53" t="s">
        <v>306</v>
      </c>
      <c r="B26" s="22"/>
      <c r="C26" s="22" t="s">
        <v>327</v>
      </c>
      <c r="D26" s="30" t="str">
        <f t="shared" si="4"/>
        <v>best</v>
      </c>
      <c r="E26" s="30">
        <f t="shared" si="4"/>
        <v>15</v>
      </c>
      <c r="F26" s="30" t="str">
        <f t="shared" si="4"/>
        <v>kWh/100km</v>
      </c>
      <c r="G26" s="30">
        <f t="shared" si="4"/>
        <v>0.54</v>
      </c>
      <c r="H26" s="227"/>
      <c r="I26" s="77">
        <f>G26*WTPs!B17</f>
        <v>1.1075946231959197</v>
      </c>
      <c r="J26" s="77">
        <f>G26*WTPs!C17</f>
        <v>2.9489417937579995E-3</v>
      </c>
      <c r="K26" s="77">
        <f>WTPs!D17*'WTW-micro EV'!G26</f>
        <v>1.5372862060183639E-2</v>
      </c>
      <c r="L26" s="80">
        <f t="shared" si="5"/>
        <v>1.1259164270498614</v>
      </c>
      <c r="M26" s="20"/>
      <c r="N26" s="236">
        <f>G26*WTPs!G17</f>
        <v>103.82717365421422</v>
      </c>
      <c r="O26" s="35"/>
      <c r="P26" s="64">
        <f t="shared" si="6"/>
        <v>0.59113156643629172</v>
      </c>
      <c r="Q26" s="65">
        <f t="shared" si="7"/>
        <v>0.47045741943456554</v>
      </c>
    </row>
    <row r="27" spans="1:17">
      <c r="A27" s="53"/>
      <c r="B27" s="22"/>
      <c r="C27" s="22"/>
      <c r="D27" s="30"/>
      <c r="E27" s="30"/>
      <c r="F27" s="30"/>
      <c r="G27" s="30"/>
      <c r="H27" s="227"/>
      <c r="I27" s="77"/>
      <c r="J27" s="77"/>
      <c r="K27" s="77"/>
      <c r="L27" s="80"/>
      <c r="M27" s="20"/>
      <c r="N27" s="236"/>
      <c r="O27" s="35"/>
      <c r="P27" s="64"/>
      <c r="Q27" s="65"/>
    </row>
    <row r="28" spans="1:17">
      <c r="A28" s="147" t="s">
        <v>323</v>
      </c>
      <c r="B28" s="22"/>
      <c r="C28" s="22" t="s">
        <v>327</v>
      </c>
      <c r="D28" s="30" t="str">
        <f>D26</f>
        <v>best</v>
      </c>
      <c r="E28" s="30">
        <f>E26</f>
        <v>15</v>
      </c>
      <c r="F28" s="30" t="str">
        <f>F26</f>
        <v>kWh/100km</v>
      </c>
      <c r="G28" s="30">
        <f>G26</f>
        <v>0.54</v>
      </c>
      <c r="H28" s="227"/>
      <c r="I28" s="77">
        <f>G28*WTPs!B19</f>
        <v>9.5119996635153595E-2</v>
      </c>
      <c r="J28" s="77">
        <f>G28*WTPs!C19</f>
        <v>7.4632809840881602E-4</v>
      </c>
      <c r="K28" s="77">
        <f>WTPs!D19*'WTW-micro EV'!G28</f>
        <v>1.2577460692770111E-2</v>
      </c>
      <c r="L28" s="80">
        <f t="shared" si="5"/>
        <v>0.10844378542633251</v>
      </c>
      <c r="M28" s="20"/>
      <c r="N28" s="236">
        <f>G28*WTPs!G19</f>
        <v>11.095387815373464</v>
      </c>
      <c r="O28" s="35"/>
      <c r="P28" s="64">
        <f t="shared" si="6"/>
        <v>0.96061942111177678</v>
      </c>
      <c r="Q28" s="65">
        <f t="shared" si="7"/>
        <v>0.9434109579473402</v>
      </c>
    </row>
    <row r="29" spans="1:17">
      <c r="A29" s="147" t="s">
        <v>324</v>
      </c>
      <c r="B29" s="22"/>
      <c r="C29" s="22" t="s">
        <v>327</v>
      </c>
      <c r="D29" s="30" t="str">
        <f t="shared" ref="D29:G30" si="8">D28</f>
        <v>best</v>
      </c>
      <c r="E29" s="30">
        <f t="shared" si="8"/>
        <v>15</v>
      </c>
      <c r="F29" s="30" t="str">
        <f t="shared" si="8"/>
        <v>kWh/100km</v>
      </c>
      <c r="G29" s="30">
        <f t="shared" si="8"/>
        <v>0.54</v>
      </c>
      <c r="H29" s="227"/>
      <c r="I29" s="77">
        <f>G29*WTPs!B20</f>
        <v>0.14985828628518416</v>
      </c>
      <c r="J29" s="77">
        <f>G29*WTPs!C20</f>
        <v>1.1758142745002091E-3</v>
      </c>
      <c r="K29" s="77">
        <f>WTPs!D20*'WTW-micro EV'!G29</f>
        <v>1.9815357147954449E-2</v>
      </c>
      <c r="L29" s="80">
        <f t="shared" si="5"/>
        <v>0.17084945770763882</v>
      </c>
      <c r="M29" s="20"/>
      <c r="N29" s="236">
        <f>G29*WTPs!G20</f>
        <v>17.480402255048883</v>
      </c>
      <c r="O29" s="35"/>
      <c r="P29" s="64">
        <f t="shared" si="6"/>
        <v>0.93795725111572803</v>
      </c>
      <c r="Q29" s="65">
        <f t="shared" si="7"/>
        <v>0.91084590869930981</v>
      </c>
    </row>
    <row r="30" spans="1:17">
      <c r="A30" s="147" t="s">
        <v>325</v>
      </c>
      <c r="B30" s="22"/>
      <c r="C30" s="22" t="s">
        <v>327</v>
      </c>
      <c r="D30" s="30" t="str">
        <f t="shared" si="8"/>
        <v>best</v>
      </c>
      <c r="E30" s="30">
        <f t="shared" si="8"/>
        <v>15</v>
      </c>
      <c r="F30" s="30" t="str">
        <f t="shared" si="8"/>
        <v>kWh/100km</v>
      </c>
      <c r="G30" s="30">
        <f t="shared" si="8"/>
        <v>0.54</v>
      </c>
      <c r="H30" s="227"/>
      <c r="I30" s="77">
        <f>G30*WTPs!B21</f>
        <v>0.27675169226192831</v>
      </c>
      <c r="J30" s="77">
        <f>G30*WTPs!C21</f>
        <v>2.1714420891908739E-3</v>
      </c>
      <c r="K30" s="77">
        <f>WTPs!D21*'WTW-micro EV'!G30</f>
        <v>3.6594130090576535E-2</v>
      </c>
      <c r="L30" s="80">
        <f t="shared" si="5"/>
        <v>0.31551726444169576</v>
      </c>
      <c r="M30" s="20"/>
      <c r="N30" s="236">
        <f>G30*WTPs!G21</f>
        <v>32.282038086954223</v>
      </c>
      <c r="O30" s="35"/>
      <c r="P30" s="64">
        <f t="shared" si="6"/>
        <v>0.88542218003462048</v>
      </c>
      <c r="Q30" s="65">
        <f t="shared" si="7"/>
        <v>0.83535414523167528</v>
      </c>
    </row>
    <row r="31" spans="1:17">
      <c r="A31" s="53"/>
      <c r="B31" s="22"/>
      <c r="C31" s="22"/>
      <c r="D31" s="30"/>
      <c r="E31" s="30"/>
      <c r="F31" s="30"/>
      <c r="G31" s="30"/>
      <c r="H31" s="227"/>
      <c r="I31" s="77"/>
      <c r="J31" s="77"/>
      <c r="K31" s="77"/>
      <c r="L31" s="80"/>
      <c r="M31" s="20"/>
      <c r="N31" s="236"/>
      <c r="O31" s="35"/>
      <c r="P31" s="64"/>
      <c r="Q31" s="65"/>
    </row>
    <row r="32" spans="1:17">
      <c r="A32" s="53" t="s">
        <v>302</v>
      </c>
      <c r="B32" s="22"/>
      <c r="C32" s="22" t="str">
        <f>C33</f>
        <v>BEV</v>
      </c>
      <c r="D32" s="30" t="str">
        <f>D30</f>
        <v>best</v>
      </c>
      <c r="E32" s="30">
        <f>E30</f>
        <v>15</v>
      </c>
      <c r="F32" s="30" t="str">
        <f>F30</f>
        <v>kWh/100km</v>
      </c>
      <c r="G32" s="30">
        <f>G30</f>
        <v>0.54</v>
      </c>
      <c r="H32" s="227"/>
      <c r="I32" s="77">
        <f>G32*WTPs!B23</f>
        <v>1.7246437059304522</v>
      </c>
      <c r="J32" s="77">
        <f>G32*WTPs!C23</f>
        <v>4.387170621134218E-3</v>
      </c>
      <c r="K32" s="77">
        <f>WTPs!D23*'WTW-micro EV'!G32</f>
        <v>2.371500622386526E-2</v>
      </c>
      <c r="L32" s="80">
        <f t="shared" si="5"/>
        <v>1.7527458827754518</v>
      </c>
      <c r="M32" s="20"/>
      <c r="N32" s="236">
        <f>G32*WTPs!G23</f>
        <v>158.93343966106198</v>
      </c>
      <c r="O32" s="35"/>
      <c r="P32" s="64">
        <f t="shared" si="6"/>
        <v>0.3635029685077138</v>
      </c>
      <c r="Q32" s="65">
        <f t="shared" si="7"/>
        <v>0.18940272749258746</v>
      </c>
    </row>
    <row r="33" spans="1:17">
      <c r="A33" s="53" t="s">
        <v>303</v>
      </c>
      <c r="B33" s="22"/>
      <c r="C33" s="22" t="str">
        <f>C35</f>
        <v>BEV</v>
      </c>
      <c r="D33" s="30" t="str">
        <f>D32</f>
        <v>best</v>
      </c>
      <c r="E33" s="30">
        <f>E32</f>
        <v>15</v>
      </c>
      <c r="F33" s="30" t="str">
        <f>F32</f>
        <v>kWh/100km</v>
      </c>
      <c r="G33" s="30">
        <f>G32</f>
        <v>0.54</v>
      </c>
      <c r="H33" s="227"/>
      <c r="I33" s="77">
        <f>G33*WTPs!B24</f>
        <v>2.3596392805386701</v>
      </c>
      <c r="J33" s="77">
        <f>G33*WTPs!C24</f>
        <v>6.7710498211670687E-3</v>
      </c>
      <c r="K33" s="77">
        <f>WTPs!D24*'WTW-micro EV'!G33</f>
        <v>3.25949907909686E-2</v>
      </c>
      <c r="L33" s="80">
        <f t="shared" si="5"/>
        <v>2.3990053211508058</v>
      </c>
      <c r="M33" s="20"/>
      <c r="N33" s="236">
        <f>G33*WTPs!G24</f>
        <v>55.563022635926465</v>
      </c>
      <c r="O33" s="35"/>
      <c r="P33" s="64">
        <f t="shared" si="6"/>
        <v>0.12881851245386222</v>
      </c>
      <c r="Q33" s="65">
        <f t="shared" si="7"/>
        <v>0.71661574369119985</v>
      </c>
    </row>
    <row r="34" spans="1:17">
      <c r="A34" s="53"/>
      <c r="B34" s="22"/>
      <c r="C34" s="22"/>
      <c r="D34" s="30"/>
      <c r="E34" s="30"/>
      <c r="F34" s="227"/>
      <c r="G34" s="227"/>
      <c r="H34" s="227"/>
      <c r="I34" s="77"/>
      <c r="J34" s="77"/>
      <c r="K34" s="77"/>
      <c r="L34" s="80"/>
      <c r="M34" s="20"/>
      <c r="N34" s="236"/>
      <c r="O34" s="35"/>
      <c r="P34" s="35"/>
      <c r="Q34" s="40"/>
    </row>
    <row r="35" spans="1:17">
      <c r="A35" s="39" t="s">
        <v>141</v>
      </c>
      <c r="B35" s="35"/>
      <c r="C35" s="35" t="str">
        <f>C22</f>
        <v>BEV</v>
      </c>
      <c r="D35" s="228" t="s">
        <v>329</v>
      </c>
      <c r="E35" s="95">
        <f>Vehicle!D6</f>
        <v>15</v>
      </c>
      <c r="F35" s="35" t="str">
        <f>Vehicle!E6</f>
        <v>kWh/100km</v>
      </c>
      <c r="G35" s="35">
        <f>Vehicle!F6</f>
        <v>0.54</v>
      </c>
      <c r="H35" s="97"/>
      <c r="I35" s="77">
        <f>G35*WTPs!B26</f>
        <v>1.3653429338616081</v>
      </c>
      <c r="J35" s="77">
        <f>G35*WTPs!C26</f>
        <v>3.473176741731256E-3</v>
      </c>
      <c r="K35" s="77">
        <f>WTPs!D26*'WTW-micro EV'!G35</f>
        <v>1.8774379927226664E-2</v>
      </c>
      <c r="L35" s="80">
        <f>SUM(I35:K35)</f>
        <v>1.387590490530566</v>
      </c>
      <c r="M35" s="20"/>
      <c r="N35" s="236">
        <f>G35*WTPs!G26</f>
        <v>125.82230639834073</v>
      </c>
      <c r="O35" s="35"/>
      <c r="P35" s="64">
        <f>1-L35/$L$6</f>
        <v>0.4961065167352734</v>
      </c>
      <c r="Q35" s="65">
        <f>1-N35/$N$6</f>
        <v>0.35827715926496506</v>
      </c>
    </row>
    <row r="36" spans="1:17">
      <c r="A36" s="39" t="s">
        <v>108</v>
      </c>
      <c r="B36" s="35"/>
      <c r="C36" s="35" t="str">
        <f t="shared" ref="C36:G38" si="9">C35</f>
        <v>BEV</v>
      </c>
      <c r="D36" s="94" t="str">
        <f t="shared" si="9"/>
        <v>best</v>
      </c>
      <c r="E36" s="94">
        <f t="shared" si="9"/>
        <v>15</v>
      </c>
      <c r="F36" s="97" t="str">
        <f t="shared" si="9"/>
        <v>kWh/100km</v>
      </c>
      <c r="G36" s="97">
        <f t="shared" si="9"/>
        <v>0.54</v>
      </c>
      <c r="H36" s="97"/>
      <c r="I36" s="77">
        <f>G36*WTPs!B27</f>
        <v>1.74179501209679</v>
      </c>
      <c r="J36" s="77">
        <f>G36*WTPs!C27</f>
        <v>4.9981286980759704E-3</v>
      </c>
      <c r="K36" s="77">
        <f>WTPs!D27*'WTW-micro EV'!G36</f>
        <v>2.4060369246815257E-2</v>
      </c>
      <c r="L36" s="80">
        <f>SUM(I36:K36)</f>
        <v>1.7708535100416813</v>
      </c>
      <c r="M36" s="20"/>
      <c r="N36" s="236">
        <f>G36*WTPs!G27</f>
        <v>41.014487461059915</v>
      </c>
      <c r="O36" s="35"/>
      <c r="P36" s="64">
        <f>1-L36/$L$6</f>
        <v>0.35692731420688983</v>
      </c>
      <c r="Q36" s="65">
        <f>1-N36/$N$6</f>
        <v>0.79081663531523116</v>
      </c>
    </row>
    <row r="37" spans="1:17">
      <c r="A37" s="39" t="s">
        <v>22</v>
      </c>
      <c r="B37" s="35"/>
      <c r="C37" s="35" t="str">
        <f t="shared" si="9"/>
        <v>BEV</v>
      </c>
      <c r="D37" s="94" t="str">
        <f t="shared" si="9"/>
        <v>best</v>
      </c>
      <c r="E37" s="94">
        <f t="shared" si="9"/>
        <v>15</v>
      </c>
      <c r="F37" s="97" t="str">
        <f t="shared" si="9"/>
        <v>kWh/100km</v>
      </c>
      <c r="G37" s="97">
        <f t="shared" si="9"/>
        <v>0.54</v>
      </c>
      <c r="H37" s="97"/>
      <c r="I37" s="77">
        <f>G37*WTPs!B28</f>
        <v>1.5410801431705281</v>
      </c>
      <c r="J37" s="77">
        <f>G37*WTPs!C28</f>
        <v>3.9202192926471608E-3</v>
      </c>
      <c r="K37" s="77">
        <f>WTPs!D28*'WTW-micro EV'!G37</f>
        <v>2.1190884274295444E-2</v>
      </c>
      <c r="L37" s="80">
        <f>SUM(I37:K37)</f>
        <v>1.5661912467374706</v>
      </c>
      <c r="M37" s="20"/>
      <c r="N37" s="236">
        <f>G37*WTPs!G28</f>
        <v>142.01725672684003</v>
      </c>
      <c r="O37" s="35"/>
      <c r="P37" s="64">
        <f>1-L37/$L$6</f>
        <v>0.43124893968139777</v>
      </c>
      <c r="Q37" s="65">
        <f>1-N37/$N$6</f>
        <v>0.275679169863426</v>
      </c>
    </row>
    <row r="38" spans="1:17" ht="15" thickBot="1">
      <c r="A38" s="41" t="s">
        <v>110</v>
      </c>
      <c r="B38" s="42"/>
      <c r="C38" s="42" t="str">
        <f t="shared" si="9"/>
        <v>BEV</v>
      </c>
      <c r="D38" s="231" t="str">
        <f t="shared" si="9"/>
        <v>best</v>
      </c>
      <c r="E38" s="231">
        <f t="shared" si="9"/>
        <v>15</v>
      </c>
      <c r="F38" s="232" t="str">
        <f t="shared" si="9"/>
        <v>kWh/100km</v>
      </c>
      <c r="G38" s="232">
        <f t="shared" si="9"/>
        <v>0.54</v>
      </c>
      <c r="H38" s="232"/>
      <c r="I38" s="78">
        <f>G38*WTPs!B29</f>
        <v>1.9060489402046026</v>
      </c>
      <c r="J38" s="78">
        <f>G38*WTPs!C29</f>
        <v>5.4419817005865621E-3</v>
      </c>
      <c r="K38" s="78">
        <f>WTPs!D29*'WTW-micro EV'!G38</f>
        <v>2.6323994211159749E-2</v>
      </c>
      <c r="L38" s="81">
        <f>SUM(I38:K38)</f>
        <v>1.9378149161163489</v>
      </c>
      <c r="M38" s="20"/>
      <c r="N38" s="238">
        <f>G38*WTPs!G29</f>
        <v>50.670093927619838</v>
      </c>
      <c r="O38" s="35"/>
      <c r="P38" s="64">
        <f>1-L38/$L$6</f>
        <v>0.2962964832435182</v>
      </c>
      <c r="Q38" s="65">
        <f>1-N38/$N$6</f>
        <v>0.74157081088149535</v>
      </c>
    </row>
    <row r="39" spans="1:17">
      <c r="O39" s="39"/>
      <c r="P39" s="35"/>
      <c r="Q39" s="40"/>
    </row>
    <row r="40" spans="1:17">
      <c r="O40" s="39"/>
      <c r="P40" s="35"/>
      <c r="Q40" s="40"/>
    </row>
    <row r="41" spans="1:17">
      <c r="C41" s="87" t="s">
        <v>164</v>
      </c>
      <c r="D41" s="88" t="s">
        <v>165</v>
      </c>
      <c r="E41" s="89" t="str">
        <f>L3</f>
        <v>total EF</v>
      </c>
      <c r="F41" s="90" t="str">
        <f>N3</f>
        <v>total GHG</v>
      </c>
      <c r="G41" s="91" t="s">
        <v>167</v>
      </c>
      <c r="H41" s="92" t="s">
        <v>168</v>
      </c>
      <c r="O41" s="53" t="s">
        <v>144</v>
      </c>
      <c r="P41" s="54" t="s">
        <v>145</v>
      </c>
      <c r="Q41" s="66" t="s">
        <v>146</v>
      </c>
    </row>
    <row r="42" spans="1:17" ht="15" thickBot="1">
      <c r="C42" s="93"/>
      <c r="D42" s="94"/>
      <c r="E42" s="95" t="s">
        <v>169</v>
      </c>
      <c r="F42" s="96" t="s">
        <v>170</v>
      </c>
      <c r="G42" s="97"/>
      <c r="H42" s="98"/>
      <c r="O42" s="55" t="s">
        <v>147</v>
      </c>
      <c r="P42" s="56" t="s">
        <v>148</v>
      </c>
      <c r="Q42" s="67" t="s">
        <v>149</v>
      </c>
    </row>
    <row r="43" spans="1:17">
      <c r="C43" s="113" t="str">
        <f>A6</f>
        <v>Gasoline</v>
      </c>
      <c r="D43" s="114" t="str">
        <f>C6</f>
        <v>gasoline vehicle</v>
      </c>
      <c r="E43" s="115">
        <f>L6</f>
        <v>2.7537377176231081</v>
      </c>
      <c r="F43" s="116">
        <f>N6</f>
        <v>196.06954655723766</v>
      </c>
      <c r="G43" s="114"/>
      <c r="H43" s="117"/>
    </row>
    <row r="44" spans="1:17">
      <c r="C44" s="93"/>
      <c r="D44" s="35"/>
      <c r="E44" s="77"/>
      <c r="F44" s="99"/>
      <c r="G44" s="35"/>
      <c r="H44" s="84"/>
    </row>
    <row r="45" spans="1:17">
      <c r="C45" s="107" t="str">
        <f>A19</f>
        <v>coal to power</v>
      </c>
      <c r="D45" s="108" t="str">
        <f>C19</f>
        <v>BEV</v>
      </c>
      <c r="E45" s="109">
        <f>L19</f>
        <v>2.2201447848489058</v>
      </c>
      <c r="F45" s="110">
        <f>N19</f>
        <v>201.31569023734519</v>
      </c>
      <c r="G45" s="111">
        <f t="shared" ref="G45:H48" si="10">P19</f>
        <v>0.19377042677643741</v>
      </c>
      <c r="H45" s="112">
        <f t="shared" si="10"/>
        <v>-2.6756545176055857E-2</v>
      </c>
    </row>
    <row r="46" spans="1:17">
      <c r="C46" s="93" t="str">
        <f>A20</f>
        <v>cte+CCS</v>
      </c>
      <c r="D46" s="35" t="str">
        <f>C20</f>
        <v>BEV</v>
      </c>
      <c r="E46" s="77">
        <f>L20</f>
        <v>2.8333656160666902</v>
      </c>
      <c r="F46" s="99">
        <f>N20</f>
        <v>65.623179937695866</v>
      </c>
      <c r="G46" s="64">
        <f t="shared" si="10"/>
        <v>-2.8916297268976265E-2</v>
      </c>
      <c r="H46" s="100">
        <f t="shared" si="10"/>
        <v>0.66530661650436973</v>
      </c>
    </row>
    <row r="47" spans="1:17">
      <c r="C47" s="93" t="str">
        <f>A21</f>
        <v>IGCC</v>
      </c>
      <c r="D47" s="35" t="str">
        <f>C21</f>
        <v>BEV</v>
      </c>
      <c r="E47" s="77">
        <f>L21</f>
        <v>2.5059059947799533</v>
      </c>
      <c r="F47" s="99">
        <f>N21</f>
        <v>227.22761076294407</v>
      </c>
      <c r="G47" s="64">
        <f t="shared" si="10"/>
        <v>8.9998303490236187E-2</v>
      </c>
      <c r="H47" s="100">
        <f t="shared" si="10"/>
        <v>-0.15891332821851845</v>
      </c>
    </row>
    <row r="48" spans="1:17">
      <c r="C48" s="101" t="str">
        <f>A22</f>
        <v>IGCC+CCS</v>
      </c>
      <c r="D48" s="102" t="str">
        <f>C22</f>
        <v>BEV</v>
      </c>
      <c r="E48" s="103">
        <f>L22</f>
        <v>3.1005038657861586</v>
      </c>
      <c r="F48" s="104">
        <f>N22</f>
        <v>81.072150284191736</v>
      </c>
      <c r="G48" s="105">
        <f t="shared" si="10"/>
        <v>-0.12592562681037101</v>
      </c>
      <c r="H48" s="106">
        <f t="shared" si="10"/>
        <v>0.58651329741039249</v>
      </c>
    </row>
    <row r="49" spans="3:8">
      <c r="C49" s="93"/>
      <c r="D49" s="35"/>
      <c r="E49" s="77"/>
      <c r="F49" s="99"/>
      <c r="G49" s="35"/>
      <c r="H49" s="84"/>
    </row>
    <row r="50" spans="3:8">
      <c r="C50" s="107" t="str">
        <f>A35</f>
        <v>coal to power</v>
      </c>
      <c r="D50" s="108" t="str">
        <f>C35</f>
        <v>BEV</v>
      </c>
      <c r="E50" s="109">
        <f>L35</f>
        <v>1.387590490530566</v>
      </c>
      <c r="F50" s="110">
        <f>N35</f>
        <v>125.82230639834073</v>
      </c>
      <c r="G50" s="111">
        <f t="shared" ref="G50:H53" si="11">P35</f>
        <v>0.4961065167352734</v>
      </c>
      <c r="H50" s="112">
        <f t="shared" si="11"/>
        <v>0.35827715926496506</v>
      </c>
    </row>
    <row r="51" spans="3:8">
      <c r="C51" s="93" t="str">
        <f>A36</f>
        <v>cte+CCS</v>
      </c>
      <c r="D51" s="35" t="str">
        <f>C36</f>
        <v>BEV</v>
      </c>
      <c r="E51" s="77">
        <f>L36</f>
        <v>1.7708535100416813</v>
      </c>
      <c r="F51" s="99">
        <f>N36</f>
        <v>41.014487461059915</v>
      </c>
      <c r="G51" s="64">
        <f t="shared" si="11"/>
        <v>0.35692731420688983</v>
      </c>
      <c r="H51" s="100">
        <f t="shared" si="11"/>
        <v>0.79081663531523116</v>
      </c>
    </row>
    <row r="52" spans="3:8">
      <c r="C52" s="93" t="str">
        <f>A37</f>
        <v>IGCC</v>
      </c>
      <c r="D52" s="35" t="str">
        <f>C37</f>
        <v>BEV</v>
      </c>
      <c r="E52" s="77">
        <f>L37</f>
        <v>1.5661912467374706</v>
      </c>
      <c r="F52" s="99">
        <f>N37</f>
        <v>142.01725672684003</v>
      </c>
      <c r="G52" s="64">
        <f t="shared" si="11"/>
        <v>0.43124893968139777</v>
      </c>
      <c r="H52" s="100">
        <f t="shared" si="11"/>
        <v>0.275679169863426</v>
      </c>
    </row>
    <row r="53" spans="3:8">
      <c r="C53" s="101" t="str">
        <f>A38</f>
        <v>IGCC+CCS</v>
      </c>
      <c r="D53" s="102" t="str">
        <f>C38</f>
        <v>BEV</v>
      </c>
      <c r="E53" s="103">
        <f>L38</f>
        <v>1.9378149161163489</v>
      </c>
      <c r="F53" s="104">
        <f>N38</f>
        <v>50.670093927619838</v>
      </c>
      <c r="G53" s="105">
        <f t="shared" si="11"/>
        <v>0.2962964832435182</v>
      </c>
      <c r="H53" s="106">
        <f t="shared" si="11"/>
        <v>0.74157081088149535</v>
      </c>
    </row>
  </sheetData>
  <phoneticPr fontId="2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4.4"/>
  <cols>
    <col min="1" max="3" width="11.88671875" customWidth="1"/>
    <col min="4" max="5" width="14.44140625" style="58" customWidth="1"/>
    <col min="6" max="8" width="14.44140625" style="61" customWidth="1"/>
    <col min="14" max="14" width="11.33203125" customWidth="1"/>
  </cols>
  <sheetData>
    <row r="1" spans="1:17" ht="15" thickBot="1">
      <c r="B1" s="202"/>
      <c r="C1" s="202"/>
      <c r="E1" s="223"/>
      <c r="F1" s="224"/>
      <c r="G1" s="224"/>
      <c r="H1" s="224"/>
      <c r="J1" s="37"/>
      <c r="K1" s="37"/>
      <c r="L1" s="38"/>
    </row>
    <row r="2" spans="1:17" ht="15" thickBot="1">
      <c r="A2" s="146" t="s">
        <v>134</v>
      </c>
      <c r="B2" s="202"/>
      <c r="C2" s="202"/>
      <c r="D2" s="223" t="s">
        <v>135</v>
      </c>
      <c r="E2" s="223"/>
      <c r="F2" s="224"/>
      <c r="G2" s="224"/>
      <c r="H2" s="224"/>
      <c r="I2" s="202" t="s">
        <v>117</v>
      </c>
      <c r="J2" s="37"/>
      <c r="K2" s="37"/>
      <c r="L2" s="38"/>
      <c r="N2" s="233" t="s">
        <v>116</v>
      </c>
    </row>
    <row r="3" spans="1:17" ht="58.2" thickBot="1">
      <c r="A3" s="39"/>
      <c r="B3" s="35"/>
      <c r="C3" s="22"/>
      <c r="D3" s="94"/>
      <c r="E3" s="94"/>
      <c r="F3" s="97"/>
      <c r="G3" s="97"/>
      <c r="H3" s="97"/>
      <c r="I3" s="1" t="s">
        <v>113</v>
      </c>
      <c r="J3" s="2" t="s">
        <v>114</v>
      </c>
      <c r="K3" s="2" t="s">
        <v>115</v>
      </c>
      <c r="L3" s="225" t="s">
        <v>120</v>
      </c>
      <c r="M3" s="30"/>
      <c r="N3" s="234" t="s">
        <v>166</v>
      </c>
      <c r="P3" s="201" t="s">
        <v>336</v>
      </c>
    </row>
    <row r="4" spans="1:17" ht="15" thickBot="1">
      <c r="A4" s="39"/>
      <c r="B4" s="35"/>
      <c r="C4" s="22"/>
      <c r="D4" s="94"/>
      <c r="E4" s="94"/>
      <c r="F4" s="97"/>
      <c r="G4" s="97"/>
      <c r="H4" s="97"/>
      <c r="I4" s="30" t="s">
        <v>137</v>
      </c>
      <c r="J4" s="30" t="s">
        <v>137</v>
      </c>
      <c r="K4" s="30" t="s">
        <v>137</v>
      </c>
      <c r="L4" s="225" t="s">
        <v>137</v>
      </c>
      <c r="M4" s="30"/>
      <c r="N4" s="235" t="s">
        <v>139</v>
      </c>
    </row>
    <row r="5" spans="1:17">
      <c r="A5" s="39"/>
      <c r="B5" s="35"/>
      <c r="C5" s="22"/>
      <c r="D5" s="94"/>
      <c r="E5" s="94"/>
      <c r="F5" s="97"/>
      <c r="G5" s="96" t="s">
        <v>140</v>
      </c>
      <c r="H5" s="97"/>
      <c r="I5" s="30"/>
      <c r="J5" s="30"/>
      <c r="K5" s="30"/>
      <c r="L5" s="225"/>
      <c r="M5" s="30"/>
      <c r="N5" s="234"/>
      <c r="O5" s="37"/>
      <c r="P5" s="202" t="s">
        <v>337</v>
      </c>
      <c r="Q5" s="203" t="s">
        <v>338</v>
      </c>
    </row>
    <row r="6" spans="1:17" ht="27.6">
      <c r="A6" s="226" t="s">
        <v>6</v>
      </c>
      <c r="B6" s="22"/>
      <c r="C6" s="22" t="str">
        <f>Vehicle!B4</f>
        <v>gasoline vehicle</v>
      </c>
      <c r="D6" s="30"/>
      <c r="E6" s="30">
        <f>Vehicle!D9</f>
        <v>9.1999999999999993</v>
      </c>
      <c r="F6" s="227" t="str">
        <f>Vehicle!E4</f>
        <v>liter/100km</v>
      </c>
      <c r="G6" s="96">
        <f>Vehicle!F9</f>
        <v>2.8727689999999995</v>
      </c>
      <c r="H6" s="227"/>
      <c r="I6" s="77">
        <f>G6*WTPs!B5</f>
        <v>0.21333195640303682</v>
      </c>
      <c r="J6" s="77">
        <f>G6*WTPs!C5</f>
        <v>0.1441447656885011</v>
      </c>
      <c r="K6" s="77">
        <f>WTPs!D5*'WTW-small EV'!G6</f>
        <v>3.3141735680726065</v>
      </c>
      <c r="L6" s="80">
        <f>SUM(I6:K6)</f>
        <v>3.6716502901641443</v>
      </c>
      <c r="M6" s="20"/>
      <c r="N6" s="236">
        <f>G6*WTPs!G5</f>
        <v>261.4260620763169</v>
      </c>
      <c r="O6" s="35"/>
      <c r="P6" s="35"/>
      <c r="Q6" s="40"/>
    </row>
    <row r="7" spans="1:17">
      <c r="A7" s="226"/>
      <c r="B7" s="22"/>
      <c r="C7" s="22"/>
      <c r="D7" s="30"/>
      <c r="E7" s="30"/>
      <c r="F7" s="227"/>
      <c r="G7" s="227"/>
      <c r="H7" s="227"/>
      <c r="I7" s="77"/>
      <c r="J7" s="77"/>
      <c r="K7" s="77"/>
      <c r="L7" s="80"/>
      <c r="M7" s="20"/>
      <c r="N7" s="236"/>
      <c r="O7" s="35"/>
      <c r="P7" s="35"/>
      <c r="Q7" s="40"/>
    </row>
    <row r="8" spans="1:17">
      <c r="A8" s="147" t="s">
        <v>304</v>
      </c>
      <c r="B8" s="22"/>
      <c r="C8" s="22" t="s">
        <v>327</v>
      </c>
      <c r="D8" s="30" t="str">
        <f>D19</f>
        <v>worst</v>
      </c>
      <c r="E8" s="30">
        <f>E19</f>
        <v>32</v>
      </c>
      <c r="F8" s="30" t="str">
        <f>F19</f>
        <v>kWh/100km</v>
      </c>
      <c r="G8" s="30">
        <f>G19</f>
        <v>1.1520000000000001</v>
      </c>
      <c r="H8" s="227"/>
      <c r="I8" s="77">
        <f>G8*WTPs!B15</f>
        <v>2.7732360648091761</v>
      </c>
      <c r="J8" s="77">
        <f>G8*WTPs!C15</f>
        <v>0.21562950776281875</v>
      </c>
      <c r="K8" s="77">
        <f>WTPs!D15*'WTW-small EV'!G8</f>
        <v>7.8398628021966649E-2</v>
      </c>
      <c r="L8" s="80">
        <f>SUM(I8:K8)</f>
        <v>3.0672642005939617</v>
      </c>
      <c r="M8" s="20"/>
      <c r="N8" s="236">
        <f>G8*WTPs!G15</f>
        <v>273.0968130101071</v>
      </c>
      <c r="O8" s="35"/>
      <c r="P8" s="64">
        <f>1-L8/$L$6</f>
        <v>0.16460883848041075</v>
      </c>
      <c r="Q8" s="65">
        <f>1-N8/$N$6</f>
        <v>-4.4642645194201025E-2</v>
      </c>
    </row>
    <row r="9" spans="1:17">
      <c r="A9" s="147" t="s">
        <v>305</v>
      </c>
      <c r="B9" s="22"/>
      <c r="C9" s="22" t="s">
        <v>327</v>
      </c>
      <c r="D9" s="30" t="str">
        <f t="shared" ref="D9:G10" si="0">D8</f>
        <v>worst</v>
      </c>
      <c r="E9" s="30">
        <f t="shared" si="0"/>
        <v>32</v>
      </c>
      <c r="F9" s="30" t="str">
        <f t="shared" si="0"/>
        <v>kWh/100km</v>
      </c>
      <c r="G9" s="30">
        <f t="shared" si="0"/>
        <v>1.1520000000000001</v>
      </c>
      <c r="H9" s="227"/>
      <c r="I9" s="77">
        <f>G9*WTPs!B16</f>
        <v>3.5579628659922093</v>
      </c>
      <c r="J9" s="77">
        <f>G9*WTPs!C16</f>
        <v>9.0507912463847033E-3</v>
      </c>
      <c r="K9" s="77">
        <f>WTPs!D16*'WTW-small EV'!G9</f>
        <v>4.8924372739216286E-2</v>
      </c>
      <c r="L9" s="80">
        <f>SUM(I9:K9)</f>
        <v>3.6159380299778103</v>
      </c>
      <c r="M9" s="20"/>
      <c r="N9" s="236">
        <f>G9*WTPs!G16</f>
        <v>330.89621392781106</v>
      </c>
      <c r="O9" s="35"/>
      <c r="P9" s="64">
        <f>1-L9/$L$6</f>
        <v>1.5173629235763486E-2</v>
      </c>
      <c r="Q9" s="65">
        <f>1-N9/$N$6</f>
        <v>-0.26573537198144415</v>
      </c>
    </row>
    <row r="10" spans="1:17">
      <c r="A10" s="147" t="s">
        <v>306</v>
      </c>
      <c r="B10" s="22"/>
      <c r="C10" s="22" t="s">
        <v>327</v>
      </c>
      <c r="D10" s="30" t="str">
        <f t="shared" si="0"/>
        <v>worst</v>
      </c>
      <c r="E10" s="30">
        <f t="shared" si="0"/>
        <v>32</v>
      </c>
      <c r="F10" s="30" t="str">
        <f t="shared" si="0"/>
        <v>kWh/100km</v>
      </c>
      <c r="G10" s="30">
        <f t="shared" si="0"/>
        <v>1.1520000000000001</v>
      </c>
      <c r="H10" s="227"/>
      <c r="I10" s="77">
        <f>G10*WTPs!B17</f>
        <v>2.3628685294846288</v>
      </c>
      <c r="J10" s="77">
        <f>G10*WTPs!C17</f>
        <v>6.291075826683732E-3</v>
      </c>
      <c r="K10" s="77">
        <f>WTPs!D17*'WTW-small EV'!G10</f>
        <v>3.2795439061725093E-2</v>
      </c>
      <c r="L10" s="80">
        <f>SUM(I10:K10)</f>
        <v>2.4019550443730373</v>
      </c>
      <c r="M10" s="20"/>
      <c r="N10" s="236">
        <f>G10*WTPs!G17</f>
        <v>221.49797046232368</v>
      </c>
      <c r="O10" s="35"/>
      <c r="P10" s="64">
        <f>1-L10/$L$6</f>
        <v>0.34581050629806687</v>
      </c>
      <c r="Q10" s="65">
        <f>1-N10/$N$6</f>
        <v>0.15273187109530495</v>
      </c>
    </row>
    <row r="11" spans="1:17">
      <c r="A11" s="147"/>
      <c r="B11" s="22"/>
      <c r="C11" s="22"/>
      <c r="D11" s="30"/>
      <c r="E11" s="30"/>
      <c r="F11" s="30"/>
      <c r="G11" s="30"/>
      <c r="H11" s="227"/>
      <c r="I11" s="77"/>
      <c r="J11" s="77"/>
      <c r="K11" s="77"/>
      <c r="L11" s="80"/>
      <c r="M11" s="20"/>
      <c r="N11" s="236"/>
      <c r="O11" s="35"/>
      <c r="P11" s="35"/>
      <c r="Q11" s="40"/>
    </row>
    <row r="12" spans="1:17">
      <c r="A12" s="147" t="s">
        <v>323</v>
      </c>
      <c r="B12" s="22"/>
      <c r="C12" s="22" t="s">
        <v>327</v>
      </c>
      <c r="D12" s="30" t="str">
        <f>D10</f>
        <v>worst</v>
      </c>
      <c r="E12" s="30">
        <f>E10</f>
        <v>32</v>
      </c>
      <c r="F12" s="30" t="str">
        <f>F10</f>
        <v>kWh/100km</v>
      </c>
      <c r="G12" s="30">
        <f>G10</f>
        <v>1.1520000000000001</v>
      </c>
      <c r="H12" s="227"/>
      <c r="I12" s="77">
        <f>G12*WTPs!B19</f>
        <v>0.20292265948832766</v>
      </c>
      <c r="J12" s="77">
        <f>G12*WTPs!C19</f>
        <v>1.5921666099388077E-3</v>
      </c>
      <c r="K12" s="77">
        <f>WTPs!D19*'WTW-small EV'!G12</f>
        <v>2.6831916144576237E-2</v>
      </c>
      <c r="L12" s="80">
        <f>SUM(I12:K12)</f>
        <v>0.23134674224284268</v>
      </c>
      <c r="M12" s="20"/>
      <c r="N12" s="236">
        <f>G12*WTPs!G19</f>
        <v>23.670160672796722</v>
      </c>
      <c r="O12" s="35"/>
      <c r="P12" s="64">
        <f>1-L12/$L$6</f>
        <v>0.93699107377884294</v>
      </c>
      <c r="Q12" s="65">
        <f>1-N12/$N$6</f>
        <v>0.90945753271574425</v>
      </c>
    </row>
    <row r="13" spans="1:17">
      <c r="A13" s="147" t="s">
        <v>324</v>
      </c>
      <c r="B13" s="22"/>
      <c r="C13" s="22" t="s">
        <v>327</v>
      </c>
      <c r="D13" s="30" t="str">
        <f t="shared" ref="D13:G14" si="1">D12</f>
        <v>worst</v>
      </c>
      <c r="E13" s="30">
        <f t="shared" si="1"/>
        <v>32</v>
      </c>
      <c r="F13" s="30" t="str">
        <f t="shared" si="1"/>
        <v>kWh/100km</v>
      </c>
      <c r="G13" s="30">
        <f t="shared" si="1"/>
        <v>1.1520000000000001</v>
      </c>
      <c r="H13" s="227"/>
      <c r="I13" s="77">
        <f>G13*WTPs!B20</f>
        <v>0.31969767740839289</v>
      </c>
      <c r="J13" s="77">
        <f>G13*WTPs!C20</f>
        <v>2.508403785600446E-3</v>
      </c>
      <c r="K13" s="77">
        <f>WTPs!D20*'WTW-small EV'!G13</f>
        <v>4.2272761915636156E-2</v>
      </c>
      <c r="L13" s="80">
        <f>SUM(I13:K13)</f>
        <v>0.36447884310962952</v>
      </c>
      <c r="M13" s="20"/>
      <c r="N13" s="236">
        <f>G13*WTPs!G20</f>
        <v>37.291524810770952</v>
      </c>
      <c r="O13" s="35"/>
      <c r="P13" s="64">
        <f>1-L13/$L$6</f>
        <v>0.90073160178516476</v>
      </c>
      <c r="Q13" s="65">
        <f>1-N13/$N$6</f>
        <v>0.85735345391889584</v>
      </c>
    </row>
    <row r="14" spans="1:17">
      <c r="A14" s="147" t="s">
        <v>325</v>
      </c>
      <c r="B14" s="22"/>
      <c r="C14" s="22" t="s">
        <v>327</v>
      </c>
      <c r="D14" s="30" t="str">
        <f t="shared" si="1"/>
        <v>worst</v>
      </c>
      <c r="E14" s="30">
        <f t="shared" si="1"/>
        <v>32</v>
      </c>
      <c r="F14" s="30" t="str">
        <f t="shared" si="1"/>
        <v>kWh/100km</v>
      </c>
      <c r="G14" s="30">
        <f t="shared" si="1"/>
        <v>1.1520000000000001</v>
      </c>
      <c r="H14" s="227"/>
      <c r="I14" s="77">
        <f>G14*WTPs!B21</f>
        <v>0.5904036101587804</v>
      </c>
      <c r="J14" s="77">
        <f>G14*WTPs!C21</f>
        <v>4.6324097902738642E-3</v>
      </c>
      <c r="K14" s="77">
        <f>WTPs!D21*'WTW-small EV'!G14</f>
        <v>7.8067477526563275E-2</v>
      </c>
      <c r="L14" s="80">
        <f>SUM(I14:K14)</f>
        <v>0.6731034974756176</v>
      </c>
      <c r="M14" s="20"/>
      <c r="N14" s="236">
        <f>G14*WTPs!G21</f>
        <v>68.868347918835681</v>
      </c>
      <c r="O14" s="35"/>
      <c r="P14" s="64">
        <f>1-L14/$L$6</f>
        <v>0.8166754880553927</v>
      </c>
      <c r="Q14" s="65">
        <f>1-N14/$N$6</f>
        <v>0.73656663237068054</v>
      </c>
    </row>
    <row r="15" spans="1:17">
      <c r="A15" s="147"/>
      <c r="B15" s="22"/>
      <c r="C15" s="22"/>
      <c r="D15" s="30"/>
      <c r="E15" s="30"/>
      <c r="F15" s="30"/>
      <c r="G15" s="30"/>
      <c r="H15" s="227"/>
      <c r="I15" s="77"/>
      <c r="J15" s="77"/>
      <c r="K15" s="77"/>
      <c r="L15" s="80"/>
      <c r="M15" s="20"/>
      <c r="N15" s="236"/>
      <c r="O15" s="35"/>
      <c r="P15" s="35"/>
      <c r="Q15" s="40"/>
    </row>
    <row r="16" spans="1:17">
      <c r="A16" s="147" t="s">
        <v>302</v>
      </c>
      <c r="B16" s="22"/>
      <c r="C16" s="22" t="str">
        <f>C17</f>
        <v>BEV</v>
      </c>
      <c r="D16" s="30" t="str">
        <f>D14</f>
        <v>worst</v>
      </c>
      <c r="E16" s="30">
        <f>E14</f>
        <v>32</v>
      </c>
      <c r="F16" s="30" t="str">
        <f>F14</f>
        <v>kWh/100km</v>
      </c>
      <c r="G16" s="30">
        <f>G14</f>
        <v>1.1520000000000001</v>
      </c>
      <c r="H16" s="227"/>
      <c r="I16" s="77">
        <f>G16*WTPs!B23</f>
        <v>3.6792399059849648</v>
      </c>
      <c r="J16" s="77">
        <f>G16*WTPs!C23</f>
        <v>9.3592973250863319E-3</v>
      </c>
      <c r="K16" s="77">
        <f>WTPs!D23*'WTW-small EV'!G16</f>
        <v>5.0592013277579229E-2</v>
      </c>
      <c r="L16" s="80">
        <f>SUM(I16:K16)</f>
        <v>3.7391912165876304</v>
      </c>
      <c r="M16" s="20"/>
      <c r="N16" s="236">
        <f>G16*WTPs!G23</f>
        <v>339.05800461026553</v>
      </c>
      <c r="O16" s="35"/>
      <c r="P16" s="64">
        <f>1-L16/$L$6</f>
        <v>-1.839525038765788E-2</v>
      </c>
      <c r="Q16" s="65">
        <f>1-N16/$N$6</f>
        <v>-0.29695563601185992</v>
      </c>
    </row>
    <row r="17" spans="1:17">
      <c r="A17" s="147" t="s">
        <v>303</v>
      </c>
      <c r="B17" s="22"/>
      <c r="C17" s="22" t="str">
        <f>C19</f>
        <v>BEV</v>
      </c>
      <c r="D17" s="30" t="str">
        <f>D16</f>
        <v>worst</v>
      </c>
      <c r="E17" s="30">
        <f>E16</f>
        <v>32</v>
      </c>
      <c r="F17" s="30" t="str">
        <f>F16</f>
        <v>kWh/100km</v>
      </c>
      <c r="G17" s="30">
        <f>G16</f>
        <v>1.1520000000000001</v>
      </c>
      <c r="H17" s="227"/>
      <c r="I17" s="77">
        <f>G17*WTPs!B24</f>
        <v>5.0338971318158299</v>
      </c>
      <c r="J17" s="77">
        <f>G17*WTPs!C24</f>
        <v>1.4444906285156415E-2</v>
      </c>
      <c r="K17" s="77">
        <f>WTPs!D24*'WTW-small EV'!G17</f>
        <v>6.9535980354066343E-2</v>
      </c>
      <c r="L17" s="80">
        <f>SUM(I17:K17)</f>
        <v>5.1178780184550527</v>
      </c>
      <c r="M17" s="20"/>
      <c r="N17" s="236">
        <f>G17*WTPs!G24</f>
        <v>118.53444828997647</v>
      </c>
      <c r="O17" s="35"/>
      <c r="P17" s="64">
        <f>1-L17/$L$6</f>
        <v>-0.39389038007382049</v>
      </c>
      <c r="Q17" s="65">
        <f>1-N17/$N$6</f>
        <v>0.54658518990591975</v>
      </c>
    </row>
    <row r="18" spans="1:17">
      <c r="A18" s="226"/>
      <c r="B18" s="22"/>
      <c r="C18" s="22"/>
      <c r="D18" s="30"/>
      <c r="E18" s="30"/>
      <c r="F18" s="227"/>
      <c r="G18" s="227"/>
      <c r="H18" s="227"/>
      <c r="I18" s="77"/>
      <c r="J18" s="77"/>
      <c r="K18" s="77"/>
      <c r="L18" s="80"/>
      <c r="M18" s="20"/>
      <c r="N18" s="236"/>
      <c r="O18" s="35"/>
      <c r="P18" s="35"/>
      <c r="Q18" s="40"/>
    </row>
    <row r="19" spans="1:17">
      <c r="A19" s="147" t="s">
        <v>104</v>
      </c>
      <c r="B19" s="239"/>
      <c r="C19" s="239" t="str">
        <f>Vehicle!B5</f>
        <v>BEV</v>
      </c>
      <c r="D19" s="228" t="s">
        <v>328</v>
      </c>
      <c r="E19" s="228">
        <f>Vehicle!D10</f>
        <v>32</v>
      </c>
      <c r="F19" s="96" t="str">
        <f>Vehicle!E5</f>
        <v>kWh/100km</v>
      </c>
      <c r="G19" s="96">
        <f>Vehicle!F10</f>
        <v>1.1520000000000001</v>
      </c>
      <c r="H19" s="96"/>
      <c r="I19" s="77">
        <f>G19*WTPs!B26</f>
        <v>2.9127315922380972</v>
      </c>
      <c r="J19" s="77">
        <f>G19*WTPs!C26</f>
        <v>7.4094437156933465E-3</v>
      </c>
      <c r="K19" s="77">
        <f>WTPs!D26*'WTW-small EV'!G19</f>
        <v>4.0052010511416887E-2</v>
      </c>
      <c r="L19" s="80">
        <f>SUM(I19:K19)</f>
        <v>2.9601930464652075</v>
      </c>
      <c r="M19" s="20"/>
      <c r="N19" s="236">
        <f>G19*WTPs!G26</f>
        <v>268.42092031646024</v>
      </c>
      <c r="O19" s="35"/>
      <c r="P19" s="64">
        <f>1-L19/$L$6</f>
        <v>0.19377042677643752</v>
      </c>
      <c r="Q19" s="65">
        <f>1-N19/$N$6</f>
        <v>-2.6756545176055857E-2</v>
      </c>
    </row>
    <row r="20" spans="1:17">
      <c r="A20" s="147" t="s">
        <v>109</v>
      </c>
      <c r="B20" s="239"/>
      <c r="C20" s="22" t="str">
        <f t="shared" ref="C20:G22" si="2">C19</f>
        <v>BEV</v>
      </c>
      <c r="D20" s="30" t="str">
        <f t="shared" si="2"/>
        <v>worst</v>
      </c>
      <c r="E20" s="30">
        <f t="shared" si="2"/>
        <v>32</v>
      </c>
      <c r="F20" s="227" t="str">
        <f t="shared" si="2"/>
        <v>kWh/100km</v>
      </c>
      <c r="G20" s="227">
        <f t="shared" si="2"/>
        <v>1.1520000000000001</v>
      </c>
      <c r="H20" s="227"/>
      <c r="I20" s="77">
        <f>G20*WTPs!B27</f>
        <v>3.7158293591398186</v>
      </c>
      <c r="J20" s="77">
        <f>G20*WTPs!C27</f>
        <v>1.0662674555895403E-2</v>
      </c>
      <c r="K20" s="77">
        <f>WTPs!D27*'WTW-small EV'!G20</f>
        <v>5.1328787726539218E-2</v>
      </c>
      <c r="L20" s="80">
        <f>SUM(I20:K20)</f>
        <v>3.7778208214222535</v>
      </c>
      <c r="M20" s="20"/>
      <c r="N20" s="236">
        <f>G20*WTPs!G27</f>
        <v>87.497573250261155</v>
      </c>
      <c r="O20" s="35"/>
      <c r="P20" s="64">
        <f>1-L20/$L$6</f>
        <v>-2.8916297268976265E-2</v>
      </c>
      <c r="Q20" s="65">
        <f>1-N20/$N$6</f>
        <v>0.66530661650436973</v>
      </c>
    </row>
    <row r="21" spans="1:17">
      <c r="A21" s="147" t="s">
        <v>107</v>
      </c>
      <c r="B21" s="239"/>
      <c r="C21" s="22" t="str">
        <f t="shared" si="2"/>
        <v>BEV</v>
      </c>
      <c r="D21" s="30" t="str">
        <f t="shared" si="2"/>
        <v>worst</v>
      </c>
      <c r="E21" s="30">
        <f t="shared" si="2"/>
        <v>32</v>
      </c>
      <c r="F21" s="227" t="str">
        <f t="shared" si="2"/>
        <v>kWh/100km</v>
      </c>
      <c r="G21" s="227">
        <f t="shared" si="2"/>
        <v>1.1520000000000001</v>
      </c>
      <c r="H21" s="227"/>
      <c r="I21" s="77">
        <f>G21*WTPs!B28</f>
        <v>3.2876376387637931</v>
      </c>
      <c r="J21" s="77">
        <f>G21*WTPs!C28</f>
        <v>8.3631344909806098E-3</v>
      </c>
      <c r="K21" s="77">
        <f>WTPs!D28*'WTW-small EV'!G21</f>
        <v>4.5207219785163615E-2</v>
      </c>
      <c r="L21" s="80">
        <f>SUM(I21:K21)</f>
        <v>3.3412079930399372</v>
      </c>
      <c r="M21" s="20"/>
      <c r="N21" s="236">
        <f>G21*WTPs!G28</f>
        <v>302.97014768392546</v>
      </c>
      <c r="O21" s="35"/>
      <c r="P21" s="64">
        <f>1-L21/$L$6</f>
        <v>8.9998303490236409E-2</v>
      </c>
      <c r="Q21" s="65">
        <f>1-N21/$N$6</f>
        <v>-0.15891332821851867</v>
      </c>
    </row>
    <row r="22" spans="1:17">
      <c r="A22" s="147" t="s">
        <v>111</v>
      </c>
      <c r="B22" s="239"/>
      <c r="C22" s="22" t="str">
        <f t="shared" si="2"/>
        <v>BEV</v>
      </c>
      <c r="D22" s="30" t="str">
        <f t="shared" si="2"/>
        <v>worst</v>
      </c>
      <c r="E22" s="30">
        <f t="shared" si="2"/>
        <v>32</v>
      </c>
      <c r="F22" s="227" t="str">
        <f t="shared" si="2"/>
        <v>kWh/100km</v>
      </c>
      <c r="G22" s="227">
        <f t="shared" si="2"/>
        <v>1.1520000000000001</v>
      </c>
      <c r="H22" s="227"/>
      <c r="I22" s="77">
        <f>G22*WTPs!B29</f>
        <v>4.0662377391031521</v>
      </c>
      <c r="J22" s="77">
        <f>G22*WTPs!C29</f>
        <v>1.1609560961251333E-2</v>
      </c>
      <c r="K22" s="77">
        <f>WTPs!D29*'WTW-small EV'!G22</f>
        <v>5.61578543171408E-2</v>
      </c>
      <c r="L22" s="80">
        <f>SUM(I22:K22)</f>
        <v>4.1340051543815441</v>
      </c>
      <c r="M22" s="20"/>
      <c r="N22" s="236">
        <f>G22*WTPs!G29</f>
        <v>108.09620037892232</v>
      </c>
      <c r="O22" s="35"/>
      <c r="P22" s="64">
        <f>1-L22/$L$6</f>
        <v>-0.12592562681037078</v>
      </c>
      <c r="Q22" s="65">
        <f>1-N22/$N$6</f>
        <v>0.58651329741039249</v>
      </c>
    </row>
    <row r="23" spans="1:17" s="154" customFormat="1">
      <c r="A23" s="167"/>
      <c r="B23" s="168"/>
      <c r="C23" s="168"/>
      <c r="D23" s="229"/>
      <c r="E23" s="229"/>
      <c r="F23" s="230"/>
      <c r="G23" s="230"/>
      <c r="H23" s="230"/>
      <c r="I23" s="168"/>
      <c r="J23" s="168"/>
      <c r="K23" s="168"/>
      <c r="L23" s="169"/>
      <c r="N23" s="237"/>
      <c r="O23" s="168"/>
      <c r="P23" s="168"/>
      <c r="Q23" s="169"/>
    </row>
    <row r="24" spans="1:17">
      <c r="A24" s="147" t="s">
        <v>304</v>
      </c>
      <c r="B24" s="22"/>
      <c r="C24" s="22" t="s">
        <v>327</v>
      </c>
      <c r="D24" s="30" t="str">
        <f>D35</f>
        <v>best</v>
      </c>
      <c r="E24" s="30">
        <f>E35</f>
        <v>20</v>
      </c>
      <c r="F24" s="30" t="str">
        <f>F35</f>
        <v>kWh/100km</v>
      </c>
      <c r="G24" s="30">
        <f>G35</f>
        <v>0.72</v>
      </c>
      <c r="H24" s="227"/>
      <c r="I24" s="77">
        <f>G24*WTPs!B15</f>
        <v>1.7332725405057348</v>
      </c>
      <c r="J24" s="77">
        <f>G24*WTPs!C15</f>
        <v>0.13476844235176169</v>
      </c>
      <c r="K24" s="77">
        <f>WTPs!D15*'WTW-small EV'!G24</f>
        <v>4.8999142513729145E-2</v>
      </c>
      <c r="L24" s="80">
        <f>SUM(I24:K24)</f>
        <v>1.9170401253712255</v>
      </c>
      <c r="M24" s="20"/>
      <c r="N24" s="236">
        <f>G24*WTPs!G15</f>
        <v>170.68550813131688</v>
      </c>
      <c r="O24" s="35"/>
      <c r="P24" s="64">
        <f>1-L24/$L$6</f>
        <v>0.47788052405025683</v>
      </c>
      <c r="Q24" s="65">
        <f>1-N24/$N$6</f>
        <v>0.3470983467536245</v>
      </c>
    </row>
    <row r="25" spans="1:17">
      <c r="A25" s="147" t="s">
        <v>305</v>
      </c>
      <c r="B25" s="22"/>
      <c r="C25" s="22" t="s">
        <v>327</v>
      </c>
      <c r="D25" s="30" t="str">
        <f t="shared" ref="D25:G26" si="3">D24</f>
        <v>best</v>
      </c>
      <c r="E25" s="30">
        <f t="shared" si="3"/>
        <v>20</v>
      </c>
      <c r="F25" s="30" t="str">
        <f t="shared" si="3"/>
        <v>kWh/100km</v>
      </c>
      <c r="G25" s="30">
        <f t="shared" si="3"/>
        <v>0.72</v>
      </c>
      <c r="H25" s="227"/>
      <c r="I25" s="77">
        <f>G25*WTPs!B16</f>
        <v>2.2237267912451304</v>
      </c>
      <c r="J25" s="77">
        <f>G25*WTPs!C16</f>
        <v>5.6567445289904391E-3</v>
      </c>
      <c r="K25" s="77">
        <f>WTPs!D16*'WTW-small EV'!G25</f>
        <v>3.0577732962010176E-2</v>
      </c>
      <c r="L25" s="80">
        <f t="shared" ref="L25:L33" si="4">SUM(I25:K25)</f>
        <v>2.2599612687361312</v>
      </c>
      <c r="M25" s="20"/>
      <c r="N25" s="236">
        <f>G25*WTPs!G16</f>
        <v>206.81013370488191</v>
      </c>
      <c r="O25" s="35"/>
      <c r="P25" s="64">
        <f t="shared" ref="P25:P33" si="5">1-L25/$L$6</f>
        <v>0.38448351827235216</v>
      </c>
      <c r="Q25" s="65">
        <f t="shared" ref="Q25:Q33" si="6">1-N25/$N$6</f>
        <v>0.20891539251159752</v>
      </c>
    </row>
    <row r="26" spans="1:17">
      <c r="A26" s="147" t="s">
        <v>306</v>
      </c>
      <c r="B26" s="22"/>
      <c r="C26" s="22" t="s">
        <v>327</v>
      </c>
      <c r="D26" s="30" t="str">
        <f t="shared" si="3"/>
        <v>best</v>
      </c>
      <c r="E26" s="30">
        <f t="shared" si="3"/>
        <v>20</v>
      </c>
      <c r="F26" s="30" t="str">
        <f t="shared" si="3"/>
        <v>kWh/100km</v>
      </c>
      <c r="G26" s="30">
        <f t="shared" si="3"/>
        <v>0.72</v>
      </c>
      <c r="H26" s="227"/>
      <c r="I26" s="77">
        <f>G26*WTPs!B17</f>
        <v>1.4767928309278928</v>
      </c>
      <c r="J26" s="77">
        <f>G26*WTPs!C17</f>
        <v>3.9319223916773321E-3</v>
      </c>
      <c r="K26" s="77">
        <f>WTPs!D17*'WTW-small EV'!G26</f>
        <v>2.0497149413578181E-2</v>
      </c>
      <c r="L26" s="80">
        <f t="shared" si="4"/>
        <v>1.5012219027331484</v>
      </c>
      <c r="M26" s="20"/>
      <c r="N26" s="236">
        <f>G26*WTPs!G17</f>
        <v>138.43623153895228</v>
      </c>
      <c r="O26" s="35"/>
      <c r="P26" s="64">
        <f t="shared" si="5"/>
        <v>0.59113156643629172</v>
      </c>
      <c r="Q26" s="65">
        <f t="shared" si="6"/>
        <v>0.47045741943456565</v>
      </c>
    </row>
    <row r="27" spans="1:17">
      <c r="A27" s="147"/>
      <c r="B27" s="22"/>
      <c r="C27" s="22"/>
      <c r="D27" s="30"/>
      <c r="E27" s="30"/>
      <c r="F27" s="30"/>
      <c r="G27" s="30"/>
      <c r="H27" s="227"/>
      <c r="I27" s="77"/>
      <c r="J27" s="77"/>
      <c r="K27" s="77"/>
      <c r="L27" s="80"/>
      <c r="M27" s="20"/>
      <c r="N27" s="236"/>
      <c r="O27" s="35"/>
      <c r="P27" s="64"/>
      <c r="Q27" s="65"/>
    </row>
    <row r="28" spans="1:17">
      <c r="A28" s="147" t="s">
        <v>323</v>
      </c>
      <c r="B28" s="22"/>
      <c r="C28" s="22" t="s">
        <v>327</v>
      </c>
      <c r="D28" s="30" t="str">
        <f>D26</f>
        <v>best</v>
      </c>
      <c r="E28" s="30">
        <f>E26</f>
        <v>20</v>
      </c>
      <c r="F28" s="30" t="str">
        <f>F26</f>
        <v>kWh/100km</v>
      </c>
      <c r="G28" s="30">
        <f>G26</f>
        <v>0.72</v>
      </c>
      <c r="H28" s="227"/>
      <c r="I28" s="77">
        <f>G28*WTPs!B19</f>
        <v>0.12682666218020477</v>
      </c>
      <c r="J28" s="77">
        <f>G28*WTPs!C19</f>
        <v>9.951041312117547E-4</v>
      </c>
      <c r="K28" s="77">
        <f>WTPs!D19*'WTW-small EV'!G28</f>
        <v>1.6769947590360147E-2</v>
      </c>
      <c r="L28" s="80">
        <f t="shared" si="4"/>
        <v>0.14459171390177669</v>
      </c>
      <c r="M28" s="20"/>
      <c r="N28" s="236">
        <f>G28*WTPs!G19</f>
        <v>14.793850420497948</v>
      </c>
      <c r="O28" s="35"/>
      <c r="P28" s="64">
        <f t="shared" si="5"/>
        <v>0.96061942111177678</v>
      </c>
      <c r="Q28" s="65">
        <f t="shared" si="6"/>
        <v>0.9434109579473402</v>
      </c>
    </row>
    <row r="29" spans="1:17">
      <c r="A29" s="147" t="s">
        <v>324</v>
      </c>
      <c r="B29" s="22"/>
      <c r="C29" s="22" t="s">
        <v>327</v>
      </c>
      <c r="D29" s="30" t="str">
        <f t="shared" ref="D29:G30" si="7">D28</f>
        <v>best</v>
      </c>
      <c r="E29" s="30">
        <f t="shared" si="7"/>
        <v>20</v>
      </c>
      <c r="F29" s="30" t="str">
        <f t="shared" si="7"/>
        <v>kWh/100km</v>
      </c>
      <c r="G29" s="30">
        <f t="shared" si="7"/>
        <v>0.72</v>
      </c>
      <c r="H29" s="227"/>
      <c r="I29" s="77">
        <f>G29*WTPs!B20</f>
        <v>0.19981104838024552</v>
      </c>
      <c r="J29" s="77">
        <f>G29*WTPs!C20</f>
        <v>1.5677523660002786E-3</v>
      </c>
      <c r="K29" s="77">
        <f>WTPs!D20*'WTW-small EV'!G29</f>
        <v>2.6420476197272596E-2</v>
      </c>
      <c r="L29" s="80">
        <f t="shared" si="4"/>
        <v>0.2277992769435184</v>
      </c>
      <c r="M29" s="20"/>
      <c r="N29" s="236">
        <f>G29*WTPs!G20</f>
        <v>23.307203006731843</v>
      </c>
      <c r="O29" s="35"/>
      <c r="P29" s="64">
        <f t="shared" si="5"/>
        <v>0.93795725111572803</v>
      </c>
      <c r="Q29" s="65">
        <f t="shared" si="6"/>
        <v>0.91084590869930993</v>
      </c>
    </row>
    <row r="30" spans="1:17">
      <c r="A30" s="147" t="s">
        <v>325</v>
      </c>
      <c r="B30" s="22"/>
      <c r="C30" s="22" t="s">
        <v>327</v>
      </c>
      <c r="D30" s="30" t="str">
        <f t="shared" si="7"/>
        <v>best</v>
      </c>
      <c r="E30" s="30">
        <f t="shared" si="7"/>
        <v>20</v>
      </c>
      <c r="F30" s="30" t="str">
        <f t="shared" si="7"/>
        <v>kWh/100km</v>
      </c>
      <c r="G30" s="30">
        <f t="shared" si="7"/>
        <v>0.72</v>
      </c>
      <c r="H30" s="227"/>
      <c r="I30" s="77">
        <f>G30*WTPs!B21</f>
        <v>0.36900225634923772</v>
      </c>
      <c r="J30" s="77">
        <f>G30*WTPs!C21</f>
        <v>2.8952561189211647E-3</v>
      </c>
      <c r="K30" s="77">
        <f>WTPs!D21*'WTW-small EV'!G30</f>
        <v>4.8792173454102042E-2</v>
      </c>
      <c r="L30" s="80">
        <f t="shared" si="4"/>
        <v>0.42068968592226091</v>
      </c>
      <c r="M30" s="20"/>
      <c r="N30" s="236">
        <f>G30*WTPs!G21</f>
        <v>43.042717449272295</v>
      </c>
      <c r="O30" s="35"/>
      <c r="P30" s="64">
        <f t="shared" si="5"/>
        <v>0.88542218003462048</v>
      </c>
      <c r="Q30" s="65">
        <f t="shared" si="6"/>
        <v>0.83535414523167539</v>
      </c>
    </row>
    <row r="31" spans="1:17">
      <c r="A31" s="147"/>
      <c r="B31" s="22"/>
      <c r="C31" s="22"/>
      <c r="D31" s="30"/>
      <c r="E31" s="30"/>
      <c r="F31" s="30"/>
      <c r="G31" s="30"/>
      <c r="H31" s="227"/>
      <c r="I31" s="77"/>
      <c r="J31" s="77"/>
      <c r="K31" s="77"/>
      <c r="L31" s="80"/>
      <c r="M31" s="20"/>
      <c r="N31" s="236"/>
      <c r="O31" s="35"/>
      <c r="P31" s="64"/>
      <c r="Q31" s="65"/>
    </row>
    <row r="32" spans="1:17">
      <c r="A32" s="147" t="s">
        <v>302</v>
      </c>
      <c r="B32" s="22"/>
      <c r="C32" s="22" t="str">
        <f>C33</f>
        <v>BEV</v>
      </c>
      <c r="D32" s="30" t="str">
        <f>D30</f>
        <v>best</v>
      </c>
      <c r="E32" s="30">
        <f>E30</f>
        <v>20</v>
      </c>
      <c r="F32" s="30" t="str">
        <f>F30</f>
        <v>kWh/100km</v>
      </c>
      <c r="G32" s="30">
        <f>G30</f>
        <v>0.72</v>
      </c>
      <c r="H32" s="227"/>
      <c r="I32" s="77">
        <f>G32*WTPs!B23</f>
        <v>2.2995249412406027</v>
      </c>
      <c r="J32" s="77">
        <f>G32*WTPs!C23</f>
        <v>5.849560828178957E-3</v>
      </c>
      <c r="K32" s="77">
        <f>WTPs!D23*'WTW-small EV'!G32</f>
        <v>3.1620008298487011E-2</v>
      </c>
      <c r="L32" s="80">
        <f t="shared" si="4"/>
        <v>2.3369945103672687</v>
      </c>
      <c r="M32" s="20"/>
      <c r="N32" s="236">
        <f>G32*WTPs!G23</f>
        <v>211.91125288141595</v>
      </c>
      <c r="O32" s="35"/>
      <c r="P32" s="64">
        <f t="shared" si="5"/>
        <v>0.36350296850771391</v>
      </c>
      <c r="Q32" s="65">
        <f t="shared" si="6"/>
        <v>0.18940272749258769</v>
      </c>
    </row>
    <row r="33" spans="1:17">
      <c r="A33" s="147" t="s">
        <v>303</v>
      </c>
      <c r="B33" s="22"/>
      <c r="C33" s="22" t="str">
        <f>C35</f>
        <v>BEV</v>
      </c>
      <c r="D33" s="30" t="str">
        <f>D32</f>
        <v>best</v>
      </c>
      <c r="E33" s="30">
        <f>E32</f>
        <v>20</v>
      </c>
      <c r="F33" s="30" t="str">
        <f>F32</f>
        <v>kWh/100km</v>
      </c>
      <c r="G33" s="30">
        <f>G32</f>
        <v>0.72</v>
      </c>
      <c r="H33" s="227"/>
      <c r="I33" s="77">
        <f>G33*WTPs!B24</f>
        <v>3.1461857073848933</v>
      </c>
      <c r="J33" s="77">
        <f>G33*WTPs!C24</f>
        <v>9.0280664282227571E-3</v>
      </c>
      <c r="K33" s="77">
        <f>WTPs!D24*'WTW-small EV'!G33</f>
        <v>4.3459987721291463E-2</v>
      </c>
      <c r="L33" s="80">
        <f t="shared" si="4"/>
        <v>3.1986737615344074</v>
      </c>
      <c r="M33" s="20"/>
      <c r="N33" s="236">
        <f>G33*WTPs!G24</f>
        <v>74.084030181235278</v>
      </c>
      <c r="O33" s="35"/>
      <c r="P33" s="64">
        <f t="shared" si="5"/>
        <v>0.12881851245386233</v>
      </c>
      <c r="Q33" s="65">
        <f t="shared" si="6"/>
        <v>0.71661574369119996</v>
      </c>
    </row>
    <row r="34" spans="1:17">
      <c r="A34" s="147"/>
      <c r="B34" s="22"/>
      <c r="C34" s="22"/>
      <c r="D34" s="30"/>
      <c r="E34" s="30"/>
      <c r="F34" s="227"/>
      <c r="G34" s="227"/>
      <c r="H34" s="227"/>
      <c r="I34" s="77"/>
      <c r="J34" s="77"/>
      <c r="K34" s="77"/>
      <c r="L34" s="80"/>
      <c r="M34" s="20"/>
      <c r="N34" s="236"/>
      <c r="O34" s="35"/>
      <c r="P34" s="35"/>
      <c r="Q34" s="40"/>
    </row>
    <row r="35" spans="1:17">
      <c r="A35" s="39" t="s">
        <v>141</v>
      </c>
      <c r="B35" s="35"/>
      <c r="C35" s="35" t="str">
        <f>C22</f>
        <v>BEV</v>
      </c>
      <c r="D35" s="228" t="s">
        <v>329</v>
      </c>
      <c r="E35" s="228">
        <f>Vehicle!D11</f>
        <v>20</v>
      </c>
      <c r="F35" s="35" t="str">
        <f>Vehicle!E6</f>
        <v>kWh/100km</v>
      </c>
      <c r="G35" s="35">
        <f>Vehicle!F11</f>
        <v>0.72</v>
      </c>
      <c r="H35" s="97"/>
      <c r="I35" s="77">
        <f>G35*WTPs!B26</f>
        <v>1.8204572451488106</v>
      </c>
      <c r="J35" s="77">
        <f>G35*WTPs!C26</f>
        <v>4.6309023223083407E-3</v>
      </c>
      <c r="K35" s="77">
        <f>WTPs!D26*'WTW-small EV'!G35</f>
        <v>2.503250656963555E-2</v>
      </c>
      <c r="L35" s="80">
        <f>SUM(I35:K35)</f>
        <v>1.8501206540407544</v>
      </c>
      <c r="M35" s="20"/>
      <c r="N35" s="236">
        <f>G35*WTPs!G26</f>
        <v>167.76307519778763</v>
      </c>
      <c r="O35" s="35"/>
      <c r="P35" s="64">
        <f>1-L35/$L$6</f>
        <v>0.49610651673527351</v>
      </c>
      <c r="Q35" s="65">
        <f>1-N35/$N$6</f>
        <v>0.35827715926496517</v>
      </c>
    </row>
    <row r="36" spans="1:17">
      <c r="A36" s="39" t="s">
        <v>108</v>
      </c>
      <c r="B36" s="35"/>
      <c r="C36" s="35" t="str">
        <f t="shared" ref="C36:G38" si="8">C35</f>
        <v>BEV</v>
      </c>
      <c r="D36" s="94" t="str">
        <f t="shared" si="8"/>
        <v>best</v>
      </c>
      <c r="E36" s="94">
        <f t="shared" si="8"/>
        <v>20</v>
      </c>
      <c r="F36" s="97" t="str">
        <f t="shared" si="8"/>
        <v>kWh/100km</v>
      </c>
      <c r="G36" s="97">
        <f t="shared" si="8"/>
        <v>0.72</v>
      </c>
      <c r="H36" s="97"/>
      <c r="I36" s="77">
        <f>G36*WTPs!B27</f>
        <v>2.3223933494623865</v>
      </c>
      <c r="J36" s="77">
        <f>G36*WTPs!C27</f>
        <v>6.6641715974346261E-3</v>
      </c>
      <c r="K36" s="77">
        <f>WTPs!D27*'WTW-small EV'!G36</f>
        <v>3.208049232908701E-2</v>
      </c>
      <c r="L36" s="80">
        <f>SUM(I36:K36)</f>
        <v>2.3611380133889082</v>
      </c>
      <c r="M36" s="20"/>
      <c r="N36" s="236">
        <f>G36*WTPs!G27</f>
        <v>54.685983281413215</v>
      </c>
      <c r="O36" s="35"/>
      <c r="P36" s="64">
        <f>1-L36/$L$6</f>
        <v>0.35692731420688995</v>
      </c>
      <c r="Q36" s="65">
        <f>1-N36/$N$6</f>
        <v>0.79081663531523116</v>
      </c>
    </row>
    <row r="37" spans="1:17">
      <c r="A37" s="39" t="s">
        <v>22</v>
      </c>
      <c r="B37" s="35"/>
      <c r="C37" s="35" t="str">
        <f t="shared" si="8"/>
        <v>BEV</v>
      </c>
      <c r="D37" s="94" t="str">
        <f t="shared" si="8"/>
        <v>best</v>
      </c>
      <c r="E37" s="94">
        <f t="shared" si="8"/>
        <v>20</v>
      </c>
      <c r="F37" s="97" t="str">
        <f t="shared" si="8"/>
        <v>kWh/100km</v>
      </c>
      <c r="G37" s="97">
        <f t="shared" si="8"/>
        <v>0.72</v>
      </c>
      <c r="H37" s="97"/>
      <c r="I37" s="77">
        <f>G37*WTPs!B28</f>
        <v>2.0547735242273704</v>
      </c>
      <c r="J37" s="77">
        <f>G37*WTPs!C28</f>
        <v>5.2269590568628805E-3</v>
      </c>
      <c r="K37" s="77">
        <f>WTPs!D28*'WTW-small EV'!G37</f>
        <v>2.8254512365727256E-2</v>
      </c>
      <c r="L37" s="80">
        <f>SUM(I37:K37)</f>
        <v>2.0882549956499603</v>
      </c>
      <c r="M37" s="20"/>
      <c r="N37" s="236">
        <f>G37*WTPs!G28</f>
        <v>189.35634230245336</v>
      </c>
      <c r="O37" s="35"/>
      <c r="P37" s="64">
        <f>1-L37/$L$6</f>
        <v>0.43124893968139788</v>
      </c>
      <c r="Q37" s="65">
        <f>1-N37/$N$6</f>
        <v>0.27567916986342611</v>
      </c>
    </row>
    <row r="38" spans="1:17" ht="15" thickBot="1">
      <c r="A38" s="41" t="s">
        <v>110</v>
      </c>
      <c r="B38" s="42"/>
      <c r="C38" s="42" t="str">
        <f t="shared" si="8"/>
        <v>BEV</v>
      </c>
      <c r="D38" s="231" t="str">
        <f t="shared" si="8"/>
        <v>best</v>
      </c>
      <c r="E38" s="231">
        <f t="shared" si="8"/>
        <v>20</v>
      </c>
      <c r="F38" s="232" t="str">
        <f t="shared" si="8"/>
        <v>kWh/100km</v>
      </c>
      <c r="G38" s="232">
        <f t="shared" si="8"/>
        <v>0.72</v>
      </c>
      <c r="H38" s="232"/>
      <c r="I38" s="78">
        <f>G38*WTPs!B29</f>
        <v>2.5413985869394695</v>
      </c>
      <c r="J38" s="78">
        <f>G38*WTPs!C29</f>
        <v>7.2559756007820825E-3</v>
      </c>
      <c r="K38" s="78">
        <f>WTPs!D29*'WTW-small EV'!G38</f>
        <v>3.5098658948212999E-2</v>
      </c>
      <c r="L38" s="81">
        <f>SUM(I38:K38)</f>
        <v>2.5837532214884646</v>
      </c>
      <c r="M38" s="20"/>
      <c r="N38" s="238">
        <f>G38*WTPs!G29</f>
        <v>67.560125236826437</v>
      </c>
      <c r="O38" s="35"/>
      <c r="P38" s="64">
        <f>1-L38/$L$6</f>
        <v>0.29629648324351832</v>
      </c>
      <c r="Q38" s="65">
        <f>1-N38/$N$6</f>
        <v>0.74157081088149535</v>
      </c>
    </row>
    <row r="39" spans="1:17">
      <c r="O39" s="39"/>
      <c r="P39" s="35"/>
      <c r="Q39" s="40"/>
    </row>
    <row r="40" spans="1:17">
      <c r="O40" s="39"/>
      <c r="P40" s="35"/>
      <c r="Q40" s="40"/>
    </row>
    <row r="41" spans="1:17">
      <c r="C41" s="87" t="s">
        <v>164</v>
      </c>
      <c r="D41" s="88" t="s">
        <v>165</v>
      </c>
      <c r="E41" s="89" t="str">
        <f>L3</f>
        <v>total EF</v>
      </c>
      <c r="F41" s="90" t="str">
        <f>N3</f>
        <v>total GHG</v>
      </c>
      <c r="G41" s="91" t="s">
        <v>167</v>
      </c>
      <c r="H41" s="92" t="s">
        <v>168</v>
      </c>
      <c r="O41" s="147" t="s">
        <v>144</v>
      </c>
      <c r="P41" s="239" t="s">
        <v>145</v>
      </c>
      <c r="Q41" s="148" t="s">
        <v>146</v>
      </c>
    </row>
    <row r="42" spans="1:17" ht="15" thickBot="1">
      <c r="C42" s="93"/>
      <c r="D42" s="94"/>
      <c r="E42" s="228" t="s">
        <v>169</v>
      </c>
      <c r="F42" s="96" t="s">
        <v>170</v>
      </c>
      <c r="G42" s="97"/>
      <c r="H42" s="98"/>
      <c r="O42" s="149" t="s">
        <v>147</v>
      </c>
      <c r="P42" s="56" t="s">
        <v>148</v>
      </c>
      <c r="Q42" s="173" t="s">
        <v>149</v>
      </c>
    </row>
    <row r="43" spans="1:17">
      <c r="C43" s="113" t="str">
        <f>A6</f>
        <v>Gasoline</v>
      </c>
      <c r="D43" s="114" t="str">
        <f>C6</f>
        <v>gasoline vehicle</v>
      </c>
      <c r="E43" s="115">
        <f>L6</f>
        <v>3.6716502901641443</v>
      </c>
      <c r="F43" s="116">
        <f>N6</f>
        <v>261.4260620763169</v>
      </c>
      <c r="G43" s="114"/>
      <c r="H43" s="117"/>
    </row>
    <row r="44" spans="1:17">
      <c r="C44" s="93"/>
      <c r="D44" s="35"/>
      <c r="E44" s="77"/>
      <c r="F44" s="99"/>
      <c r="G44" s="35"/>
      <c r="H44" s="84"/>
    </row>
    <row r="45" spans="1:17">
      <c r="C45" s="107" t="str">
        <f>A19</f>
        <v>coal to power</v>
      </c>
      <c r="D45" s="108" t="str">
        <f>C19</f>
        <v>BEV</v>
      </c>
      <c r="E45" s="109">
        <f>L19</f>
        <v>2.9601930464652075</v>
      </c>
      <c r="F45" s="110">
        <f>N19</f>
        <v>268.42092031646024</v>
      </c>
      <c r="G45" s="111">
        <f t="shared" ref="G45:H48" si="9">P19</f>
        <v>0.19377042677643752</v>
      </c>
      <c r="H45" s="112">
        <f t="shared" si="9"/>
        <v>-2.6756545176055857E-2</v>
      </c>
    </row>
    <row r="46" spans="1:17">
      <c r="C46" s="93" t="str">
        <f>A20</f>
        <v>cte+CCS</v>
      </c>
      <c r="D46" s="35" t="str">
        <f>C20</f>
        <v>BEV</v>
      </c>
      <c r="E46" s="77">
        <f>L20</f>
        <v>3.7778208214222535</v>
      </c>
      <c r="F46" s="99">
        <f>N20</f>
        <v>87.497573250261155</v>
      </c>
      <c r="G46" s="64">
        <f t="shared" si="9"/>
        <v>-2.8916297268976265E-2</v>
      </c>
      <c r="H46" s="100">
        <f t="shared" si="9"/>
        <v>0.66530661650436973</v>
      </c>
    </row>
    <row r="47" spans="1:17">
      <c r="C47" s="93" t="str">
        <f>A21</f>
        <v>IGCC</v>
      </c>
      <c r="D47" s="35" t="str">
        <f>C21</f>
        <v>BEV</v>
      </c>
      <c r="E47" s="77">
        <f>L21</f>
        <v>3.3412079930399372</v>
      </c>
      <c r="F47" s="99">
        <f>N21</f>
        <v>302.97014768392546</v>
      </c>
      <c r="G47" s="64">
        <f t="shared" si="9"/>
        <v>8.9998303490236409E-2</v>
      </c>
      <c r="H47" s="100">
        <f t="shared" si="9"/>
        <v>-0.15891332821851867</v>
      </c>
    </row>
    <row r="48" spans="1:17">
      <c r="C48" s="101" t="str">
        <f>A22</f>
        <v>IGCC+CCS</v>
      </c>
      <c r="D48" s="102" t="str">
        <f>C22</f>
        <v>BEV</v>
      </c>
      <c r="E48" s="103">
        <f>L22</f>
        <v>4.1340051543815441</v>
      </c>
      <c r="F48" s="104">
        <f>N22</f>
        <v>108.09620037892232</v>
      </c>
      <c r="G48" s="105">
        <f t="shared" si="9"/>
        <v>-0.12592562681037078</v>
      </c>
      <c r="H48" s="106">
        <f t="shared" si="9"/>
        <v>0.58651329741039249</v>
      </c>
    </row>
    <row r="49" spans="3:8">
      <c r="C49" s="93"/>
      <c r="D49" s="35"/>
      <c r="E49" s="77"/>
      <c r="F49" s="99"/>
      <c r="G49" s="35"/>
      <c r="H49" s="84"/>
    </row>
    <row r="50" spans="3:8">
      <c r="C50" s="107" t="str">
        <f>A35</f>
        <v>coal to power</v>
      </c>
      <c r="D50" s="108" t="str">
        <f>C35</f>
        <v>BEV</v>
      </c>
      <c r="E50" s="109">
        <f>L35</f>
        <v>1.8501206540407544</v>
      </c>
      <c r="F50" s="110">
        <f>N35</f>
        <v>167.76307519778763</v>
      </c>
      <c r="G50" s="111">
        <f t="shared" ref="G50:H53" si="10">P35</f>
        <v>0.49610651673527351</v>
      </c>
      <c r="H50" s="112">
        <f t="shared" si="10"/>
        <v>0.35827715926496517</v>
      </c>
    </row>
    <row r="51" spans="3:8">
      <c r="C51" s="93" t="str">
        <f>A36</f>
        <v>cte+CCS</v>
      </c>
      <c r="D51" s="35" t="str">
        <f>C36</f>
        <v>BEV</v>
      </c>
      <c r="E51" s="77">
        <f>L36</f>
        <v>2.3611380133889082</v>
      </c>
      <c r="F51" s="99">
        <f>N36</f>
        <v>54.685983281413215</v>
      </c>
      <c r="G51" s="64">
        <f t="shared" si="10"/>
        <v>0.35692731420688995</v>
      </c>
      <c r="H51" s="100">
        <f t="shared" si="10"/>
        <v>0.79081663531523116</v>
      </c>
    </row>
    <row r="52" spans="3:8">
      <c r="C52" s="93" t="str">
        <f>A37</f>
        <v>IGCC</v>
      </c>
      <c r="D52" s="35" t="str">
        <f>C37</f>
        <v>BEV</v>
      </c>
      <c r="E52" s="77">
        <f>L37</f>
        <v>2.0882549956499603</v>
      </c>
      <c r="F52" s="99">
        <f>N37</f>
        <v>189.35634230245336</v>
      </c>
      <c r="G52" s="64">
        <f t="shared" si="10"/>
        <v>0.43124893968139788</v>
      </c>
      <c r="H52" s="100">
        <f t="shared" si="10"/>
        <v>0.27567916986342611</v>
      </c>
    </row>
    <row r="53" spans="3:8">
      <c r="C53" s="101" t="str">
        <f>A38</f>
        <v>IGCC+CCS</v>
      </c>
      <c r="D53" s="102" t="str">
        <f>C38</f>
        <v>BEV</v>
      </c>
      <c r="E53" s="103">
        <f>L38</f>
        <v>2.5837532214884646</v>
      </c>
      <c r="F53" s="104">
        <f>N38</f>
        <v>67.560125236826437</v>
      </c>
      <c r="G53" s="105">
        <f t="shared" si="10"/>
        <v>0.29629648324351832</v>
      </c>
      <c r="H53" s="106">
        <f t="shared" si="10"/>
        <v>0.74157081088149535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pane xSplit="1" topLeftCell="B1" activePane="topRight" state="frozen"/>
      <selection activeCell="J25" sqref="J25"/>
      <selection pane="topRight" activeCell="J25" sqref="J25"/>
    </sheetView>
  </sheetViews>
  <sheetFormatPr defaultRowHeight="14.4"/>
  <cols>
    <col min="1" max="3" width="11.88671875" customWidth="1"/>
    <col min="4" max="5" width="14.44140625" style="58" customWidth="1"/>
    <col min="6" max="8" width="14.44140625" style="61" customWidth="1"/>
    <col min="14" max="14" width="11.33203125" customWidth="1"/>
    <col min="16" max="17" width="9.44140625" bestFit="1" customWidth="1"/>
  </cols>
  <sheetData>
    <row r="1" spans="1:23">
      <c r="A1" s="32" t="s">
        <v>134</v>
      </c>
      <c r="B1" s="32"/>
      <c r="C1" s="32"/>
      <c r="D1" s="57" t="s">
        <v>135</v>
      </c>
      <c r="E1" s="57"/>
      <c r="F1" s="60"/>
      <c r="G1" s="60"/>
      <c r="H1" s="60"/>
      <c r="I1" s="32" t="s">
        <v>117</v>
      </c>
      <c r="N1" s="50" t="s">
        <v>116</v>
      </c>
    </row>
    <row r="2" spans="1:23" ht="15" thickBot="1">
      <c r="A2" s="32"/>
      <c r="B2" s="32"/>
      <c r="C2" s="32"/>
      <c r="D2" s="57"/>
      <c r="E2" s="57"/>
      <c r="F2" s="60"/>
      <c r="G2" s="60"/>
      <c r="H2" s="60"/>
      <c r="I2" s="32"/>
      <c r="N2" s="50"/>
    </row>
    <row r="3" spans="1:23" ht="15" thickBot="1">
      <c r="C3" s="4"/>
      <c r="I3" s="1" t="s">
        <v>113</v>
      </c>
      <c r="J3" s="2" t="s">
        <v>114</v>
      </c>
      <c r="K3" s="2" t="s">
        <v>115</v>
      </c>
      <c r="L3" s="30" t="s">
        <v>120</v>
      </c>
      <c r="M3" s="30"/>
      <c r="N3" s="50" t="s">
        <v>121</v>
      </c>
    </row>
    <row r="4" spans="1:23" ht="15" thickBot="1">
      <c r="C4" s="4"/>
      <c r="I4" s="30" t="s">
        <v>137</v>
      </c>
      <c r="J4" s="30" t="s">
        <v>138</v>
      </c>
      <c r="K4" s="30" t="s">
        <v>138</v>
      </c>
      <c r="L4" s="30" t="s">
        <v>138</v>
      </c>
      <c r="M4" s="30"/>
      <c r="N4" s="30" t="s">
        <v>139</v>
      </c>
    </row>
    <row r="5" spans="1:23">
      <c r="C5" s="4"/>
      <c r="G5" s="60" t="s">
        <v>140</v>
      </c>
      <c r="I5" s="30"/>
      <c r="J5" s="30"/>
      <c r="K5" s="30"/>
      <c r="L5" s="30"/>
      <c r="M5" s="30"/>
      <c r="N5" s="50"/>
      <c r="O5" s="36"/>
      <c r="P5" s="62" t="s">
        <v>142</v>
      </c>
      <c r="Q5" s="63" t="s">
        <v>143</v>
      </c>
      <c r="S5" s="32" t="s">
        <v>162</v>
      </c>
    </row>
    <row r="6" spans="1:23" ht="27.6">
      <c r="A6" s="4" t="s">
        <v>6</v>
      </c>
      <c r="B6" s="4"/>
      <c r="C6" s="4" t="str">
        <f>Vehicle!B9</f>
        <v>gasoline vehicle</v>
      </c>
      <c r="D6" s="59"/>
      <c r="E6" s="204">
        <f>Vehicle!D9</f>
        <v>9.1999999999999993</v>
      </c>
      <c r="F6" s="5" t="str">
        <f>Vehicle!E9</f>
        <v>liter/100km</v>
      </c>
      <c r="G6" s="207">
        <f>Vehicle!F9</f>
        <v>2.8727689999999995</v>
      </c>
      <c r="H6" s="5"/>
      <c r="I6" s="20">
        <f>G6*WTPs!B5</f>
        <v>0.21333195640303682</v>
      </c>
      <c r="J6" s="20">
        <f>G6*WTPs!C5</f>
        <v>0.1441447656885011</v>
      </c>
      <c r="K6" s="20">
        <f>WTPs!D5*'WTW -small-ctl n SNG v'!G6</f>
        <v>3.3141735680726065</v>
      </c>
      <c r="L6" s="20">
        <f>SUM(I6:K6)</f>
        <v>3.6716502901641443</v>
      </c>
      <c r="M6" s="20"/>
      <c r="N6" s="51">
        <f>G6*WTPs!G5</f>
        <v>261.4260620763169</v>
      </c>
      <c r="O6" s="39"/>
      <c r="P6" s="35"/>
      <c r="Q6" s="40"/>
    </row>
    <row r="7" spans="1:23">
      <c r="A7" s="4" t="s">
        <v>5</v>
      </c>
      <c r="B7" s="4"/>
      <c r="C7" s="4" t="str">
        <f>Vehicle!B13</f>
        <v>diesel vehicle</v>
      </c>
      <c r="D7" s="59"/>
      <c r="E7" s="204">
        <f>Vehicle!D13</f>
        <v>6.8890476190476191</v>
      </c>
      <c r="F7" s="5" t="str">
        <f>Vehicle!E13</f>
        <v>liter/100km</v>
      </c>
      <c r="G7" s="207">
        <f>Vehicle!F13</f>
        <v>2.4923747599999997</v>
      </c>
      <c r="H7" s="5"/>
      <c r="I7" s="20">
        <f>G7*WTPs!B6</f>
        <v>0.18016400951188452</v>
      </c>
      <c r="J7" s="20">
        <f>G7*WTPs!C6</f>
        <v>0.12356941099877045</v>
      </c>
      <c r="K7" s="20">
        <f>WTPs!D6*'WTW -small-ctl n SNG v'!G7</f>
        <v>2.8593236456072861</v>
      </c>
      <c r="L7" s="20">
        <f>SUM(I7:K7)</f>
        <v>3.1630570661179411</v>
      </c>
      <c r="M7" s="20"/>
      <c r="N7" s="51">
        <f>G7*WTPs!G6</f>
        <v>232.04116261048478</v>
      </c>
      <c r="O7" s="39"/>
      <c r="P7" s="64">
        <f>1-L7/$L$6</f>
        <v>0.13851897208420305</v>
      </c>
      <c r="Q7" s="65">
        <f>1-N7/$N$6</f>
        <v>0.11240233369408259</v>
      </c>
    </row>
    <row r="8" spans="1:23" ht="27.6">
      <c r="A8" s="4" t="s">
        <v>132</v>
      </c>
      <c r="B8" s="4"/>
      <c r="C8" s="4" t="str">
        <f>Vehicle!B16</f>
        <v>NG vehicle</v>
      </c>
      <c r="D8" s="59"/>
      <c r="E8" s="204">
        <f>Vehicle!D16</f>
        <v>7.35</v>
      </c>
      <c r="F8" s="5" t="str">
        <f>Vehicle!E16</f>
        <v>cubic meter/100km</v>
      </c>
      <c r="G8" s="207">
        <f>Vehicle!F16</f>
        <v>2.8591499999999996</v>
      </c>
      <c r="H8" s="5"/>
      <c r="I8" s="20">
        <f>G8*WTPs!B7</f>
        <v>0.22940031705374581</v>
      </c>
      <c r="J8" s="20">
        <f>G8*WTPs!C7</f>
        <v>3.2127703951053803</v>
      </c>
      <c r="K8" s="20">
        <f>WTPs!D7*'WTW -small-ctl n SNG v'!G8</f>
        <v>2.1557006419566881E-2</v>
      </c>
      <c r="L8" s="20">
        <f>SUM(I8:K8)</f>
        <v>3.463727718578693</v>
      </c>
      <c r="M8" s="20"/>
      <c r="N8" s="51">
        <f>G8*WTPs!G7</f>
        <v>209.86988075222254</v>
      </c>
      <c r="O8" s="39"/>
      <c r="P8" s="64">
        <f>1-L8/$L$6</f>
        <v>5.6629187192050345E-2</v>
      </c>
      <c r="Q8" s="65">
        <f>1-N8/$N$6</f>
        <v>0.19721132971449418</v>
      </c>
    </row>
    <row r="9" spans="1:23">
      <c r="A9" s="4"/>
      <c r="B9" s="4"/>
      <c r="C9" s="4"/>
      <c r="D9" s="59"/>
      <c r="E9" s="204"/>
      <c r="F9" s="5"/>
      <c r="G9" s="207"/>
      <c r="H9" s="5"/>
      <c r="I9" s="20"/>
      <c r="J9" s="20"/>
      <c r="K9" s="20"/>
      <c r="L9" s="20"/>
      <c r="M9" s="20"/>
      <c r="N9" s="51"/>
      <c r="O9" s="39"/>
      <c r="P9" s="64"/>
      <c r="Q9" s="65"/>
    </row>
    <row r="10" spans="1:23">
      <c r="A10" s="32" t="s">
        <v>103</v>
      </c>
      <c r="B10" s="32"/>
      <c r="C10" s="32" t="str">
        <f>Vehicle!B14</f>
        <v>CTL vehicle</v>
      </c>
      <c r="D10" s="57"/>
      <c r="E10" s="205">
        <f>Vehicle!D14</f>
        <v>6.8890476190476191</v>
      </c>
      <c r="F10" s="60" t="str">
        <f>Vehicle!E14</f>
        <v>liter/100km</v>
      </c>
      <c r="G10" s="208">
        <f>Vehicle!F14</f>
        <v>2.4923747599999997</v>
      </c>
      <c r="H10" s="60"/>
      <c r="I10" s="20">
        <f>G10*WTPs!B10</f>
        <v>6.5740218866283389</v>
      </c>
      <c r="J10" s="20">
        <f>G10*WTPs!C10</f>
        <v>1.7574525973420067E-2</v>
      </c>
      <c r="K10" s="20">
        <f>WTPs!D10*'WTW -small-ctl n SNG v'!G10</f>
        <v>0.10246072341650474</v>
      </c>
      <c r="L10" s="20">
        <f t="shared" ref="L10:L18" si="0">SUM(I10:K10)</f>
        <v>6.6940571360182641</v>
      </c>
      <c r="M10" s="20"/>
      <c r="N10" s="51">
        <f>G10*WTPs!G10</f>
        <v>611.98768629626659</v>
      </c>
      <c r="O10" s="39"/>
      <c r="P10" s="64">
        <f t="shared" ref="P10:P18" si="1">1-L10/$L$6</f>
        <v>-0.82317394277737721</v>
      </c>
      <c r="Q10" s="65">
        <f t="shared" ref="Q10:Q18" si="2">1-N10/$N$6</f>
        <v>-1.3409589749227524</v>
      </c>
      <c r="S10" s="32" t="s">
        <v>154</v>
      </c>
      <c r="T10" s="32" t="s">
        <v>150</v>
      </c>
      <c r="U10" s="32" t="s">
        <v>151</v>
      </c>
      <c r="V10" s="32" t="s">
        <v>152</v>
      </c>
      <c r="W10" s="70" t="s">
        <v>153</v>
      </c>
    </row>
    <row r="11" spans="1:23" s="175" customFormat="1">
      <c r="A11" s="179" t="s">
        <v>129</v>
      </c>
      <c r="B11" s="179"/>
      <c r="C11" s="179" t="str">
        <f>C10</f>
        <v>CTL vehicle</v>
      </c>
      <c r="D11" s="180"/>
      <c r="E11" s="206">
        <f t="shared" ref="E11:G13" si="3">E10</f>
        <v>6.8890476190476191</v>
      </c>
      <c r="F11" s="181" t="str">
        <f t="shared" si="3"/>
        <v>liter/100km</v>
      </c>
      <c r="G11" s="209">
        <f t="shared" si="3"/>
        <v>2.4923747599999997</v>
      </c>
      <c r="H11" s="181"/>
      <c r="I11" s="176">
        <f>G11*WTPs!B11</f>
        <v>5.4282284817894926</v>
      </c>
      <c r="J11" s="176">
        <f>G11*WTPs!C11</f>
        <v>1.4659842119408403E-2</v>
      </c>
      <c r="K11" s="176">
        <f>WTPs!D11*'WTW -small-ctl n SNG v'!G11</f>
        <v>8.6705296580468841E-2</v>
      </c>
      <c r="L11" s="176">
        <f t="shared" si="0"/>
        <v>5.5295936204893694</v>
      </c>
      <c r="M11" s="176"/>
      <c r="N11" s="178">
        <f>G11*WTPs!G11</f>
        <v>505.58248589995389</v>
      </c>
      <c r="O11" s="182"/>
      <c r="P11" s="183">
        <f t="shared" si="1"/>
        <v>-0.50602404463802131</v>
      </c>
      <c r="Q11" s="184">
        <f t="shared" si="2"/>
        <v>-0.93394064036492863</v>
      </c>
      <c r="S11" s="174" t="s">
        <v>157</v>
      </c>
      <c r="T11" s="174" t="s">
        <v>150</v>
      </c>
      <c r="U11" s="174" t="s">
        <v>158</v>
      </c>
      <c r="V11" s="174" t="s">
        <v>152</v>
      </c>
      <c r="W11" s="185" t="s">
        <v>159</v>
      </c>
    </row>
    <row r="12" spans="1:23">
      <c r="A12" s="32" t="s">
        <v>106</v>
      </c>
      <c r="B12" s="32"/>
      <c r="C12" s="4" t="str">
        <f>C11</f>
        <v>CTL vehicle</v>
      </c>
      <c r="D12" s="59"/>
      <c r="E12" s="204">
        <f t="shared" si="3"/>
        <v>6.8890476190476191</v>
      </c>
      <c r="F12" s="5" t="str">
        <f t="shared" si="3"/>
        <v>liter/100km</v>
      </c>
      <c r="G12" s="207">
        <f t="shared" si="3"/>
        <v>2.4923747599999997</v>
      </c>
      <c r="H12" s="5"/>
      <c r="I12" s="20">
        <f>G12*WTPs!B12</f>
        <v>8.131327885474473</v>
      </c>
      <c r="J12" s="20">
        <f>G12*WTPs!C12</f>
        <v>2.3393427516685817E-2</v>
      </c>
      <c r="K12" s="20">
        <f>WTPs!D12*'WTW -small-ctl n SNG v'!G12</f>
        <v>0.12423329098407655</v>
      </c>
      <c r="L12" s="20">
        <f t="shared" si="0"/>
        <v>8.2789546039752349</v>
      </c>
      <c r="M12" s="20"/>
      <c r="N12" s="51">
        <f>G12*'CtL(CCS)'!P27</f>
        <v>367.94519094565584</v>
      </c>
      <c r="O12" s="39"/>
      <c r="P12" s="64">
        <f>1-L12/$L$6</f>
        <v>-1.2548320100510217</v>
      </c>
      <c r="Q12" s="65">
        <f>1-N12/$N$6</f>
        <v>-0.40745413071418768</v>
      </c>
    </row>
    <row r="13" spans="1:23" s="175" customFormat="1">
      <c r="A13" s="174" t="s">
        <v>128</v>
      </c>
      <c r="B13" s="174"/>
      <c r="C13" s="179" t="str">
        <f>C12</f>
        <v>CTL vehicle</v>
      </c>
      <c r="D13" s="180"/>
      <c r="E13" s="180">
        <f t="shared" si="3"/>
        <v>6.8890476190476191</v>
      </c>
      <c r="F13" s="181" t="str">
        <f t="shared" si="3"/>
        <v>liter/100km</v>
      </c>
      <c r="G13" s="209">
        <f t="shared" si="3"/>
        <v>2.4923747599999997</v>
      </c>
      <c r="H13" s="181"/>
      <c r="I13" s="176">
        <f>G13*WTPs!B13</f>
        <v>6.4711794274476633</v>
      </c>
      <c r="J13" s="176">
        <f>G13*WTPs!C13</f>
        <v>3.6001581692753373E-2</v>
      </c>
      <c r="K13" s="176">
        <f>WTPs!D13*'WTW -small-ctl n SNG v'!G13</f>
        <v>0.10465436310008118</v>
      </c>
      <c r="L13" s="176">
        <f t="shared" si="0"/>
        <v>6.6118353722404981</v>
      </c>
      <c r="M13" s="176"/>
      <c r="N13" s="178">
        <f>G13*WTPs!G13</f>
        <v>400.38969313454442</v>
      </c>
      <c r="O13" s="182"/>
      <c r="P13" s="183">
        <f t="shared" si="1"/>
        <v>-0.80078026220326937</v>
      </c>
      <c r="Q13" s="184">
        <f t="shared" si="2"/>
        <v>-0.53155997513997089</v>
      </c>
    </row>
    <row r="14" spans="1:23">
      <c r="A14" s="32"/>
      <c r="B14" s="32"/>
      <c r="C14" s="32"/>
      <c r="D14" s="57"/>
      <c r="E14" s="57"/>
      <c r="F14" s="60"/>
      <c r="G14" s="208"/>
      <c r="H14" s="60"/>
      <c r="I14" s="20"/>
      <c r="J14" s="20"/>
      <c r="K14" s="20"/>
      <c r="L14" s="20"/>
      <c r="M14" s="20"/>
      <c r="N14" s="51"/>
      <c r="O14" s="39"/>
      <c r="P14" s="64"/>
      <c r="Q14" s="65"/>
    </row>
    <row r="15" spans="1:23">
      <c r="A15" s="32" t="s">
        <v>105</v>
      </c>
      <c r="B15" s="32"/>
      <c r="C15" s="32" t="str">
        <f>Vehicle!B17</f>
        <v>SNG vehicle</v>
      </c>
      <c r="D15" s="57"/>
      <c r="E15" s="57">
        <f>Vehicle!D17</f>
        <v>7.35</v>
      </c>
      <c r="F15" s="60" t="str">
        <f>Vehicle!E17</f>
        <v>cubic meter/100km</v>
      </c>
      <c r="G15" s="208">
        <f>Vehicle!F17</f>
        <v>2.8591499999999996</v>
      </c>
      <c r="H15" s="60"/>
      <c r="I15" s="20">
        <f>G15*WTPs!B31</f>
        <v>6.036701131051025</v>
      </c>
      <c r="J15" s="20">
        <f>G15*WTPs!C31</f>
        <v>1.5356237209833735E-2</v>
      </c>
      <c r="K15" s="20">
        <f>WTPs!D31*'WTW -small-ctl n SNG v'!G15</f>
        <v>8.3008684287780993E-2</v>
      </c>
      <c r="L15" s="20">
        <f t="shared" si="0"/>
        <v>6.1350660525486393</v>
      </c>
      <c r="M15" s="20"/>
      <c r="N15" s="51">
        <f>G15*WTPs!G31</f>
        <v>556.30833873953361</v>
      </c>
      <c r="O15" s="39"/>
      <c r="P15" s="64">
        <f t="shared" si="1"/>
        <v>-0.67092875620089787</v>
      </c>
      <c r="Q15" s="65">
        <f t="shared" si="2"/>
        <v>-1.1279758197066561</v>
      </c>
      <c r="S15" s="32" t="s">
        <v>154</v>
      </c>
      <c r="T15" s="32" t="s">
        <v>150</v>
      </c>
      <c r="U15" s="32" t="s">
        <v>155</v>
      </c>
      <c r="V15" s="32" t="s">
        <v>152</v>
      </c>
      <c r="W15" s="70" t="s">
        <v>156</v>
      </c>
    </row>
    <row r="16" spans="1:23" s="175" customFormat="1" ht="27.6">
      <c r="A16" s="174" t="s">
        <v>130</v>
      </c>
      <c r="B16" s="174"/>
      <c r="C16" s="179" t="str">
        <f>C15</f>
        <v>SNG vehicle</v>
      </c>
      <c r="D16" s="180"/>
      <c r="E16" s="180">
        <f t="shared" ref="E16:G18" si="4">E15</f>
        <v>7.35</v>
      </c>
      <c r="F16" s="181" t="str">
        <f t="shared" si="4"/>
        <v>cubic meter/100km</v>
      </c>
      <c r="G16" s="209">
        <f t="shared" si="4"/>
        <v>2.8591499999999996</v>
      </c>
      <c r="H16" s="181"/>
      <c r="I16" s="176">
        <f>G16*WTPs!B32</f>
        <v>6.036701131051025</v>
      </c>
      <c r="J16" s="176">
        <f>G16*WTPs!C32</f>
        <v>1.5356237209833735E-2</v>
      </c>
      <c r="K16" s="176">
        <f>WTPs!D32*'WTW -small-ctl n SNG v'!G16</f>
        <v>8.3008684287780993E-2</v>
      </c>
      <c r="L16" s="176">
        <f t="shared" si="0"/>
        <v>6.1350660525486393</v>
      </c>
      <c r="M16" s="176"/>
      <c r="N16" s="178">
        <f>G16*WTPs!G32</f>
        <v>556.30833873953361</v>
      </c>
      <c r="O16" s="182"/>
      <c r="P16" s="183">
        <f t="shared" si="1"/>
        <v>-0.67092875620089787</v>
      </c>
      <c r="Q16" s="184">
        <f t="shared" si="2"/>
        <v>-1.1279758197066561</v>
      </c>
      <c r="S16" s="174" t="s">
        <v>157</v>
      </c>
      <c r="T16" s="174" t="s">
        <v>150</v>
      </c>
      <c r="U16" s="174" t="s">
        <v>160</v>
      </c>
      <c r="V16" s="174" t="s">
        <v>152</v>
      </c>
      <c r="W16" s="185" t="s">
        <v>161</v>
      </c>
    </row>
    <row r="17" spans="1:17" ht="27.6">
      <c r="A17" s="32" t="s">
        <v>112</v>
      </c>
      <c r="B17" s="32"/>
      <c r="C17" s="4" t="str">
        <f>C16</f>
        <v>SNG vehicle</v>
      </c>
      <c r="D17" s="59"/>
      <c r="E17" s="59">
        <f t="shared" si="4"/>
        <v>7.35</v>
      </c>
      <c r="F17" s="5" t="str">
        <f t="shared" si="4"/>
        <v>cubic meter/100km</v>
      </c>
      <c r="G17" s="207">
        <f t="shared" si="4"/>
        <v>2.8591499999999996</v>
      </c>
      <c r="H17" s="5"/>
      <c r="I17" s="20">
        <f>G17*WTPs!B33</f>
        <v>6.0499715330963397</v>
      </c>
      <c r="J17" s="20">
        <f>G17*WTPs!C33</f>
        <v>1.6388060752429486E-2</v>
      </c>
      <c r="K17" s="20">
        <f>WTPs!D33*'WTW -small-ctl n SNG v'!G17</f>
        <v>8.3383834938262708E-2</v>
      </c>
      <c r="L17" s="20">
        <f t="shared" si="0"/>
        <v>6.1497434287870325</v>
      </c>
      <c r="M17" s="20"/>
      <c r="N17" s="51">
        <f>G17*WTPs!G33</f>
        <v>353.51793746889257</v>
      </c>
      <c r="O17" s="39"/>
      <c r="P17" s="64">
        <f t="shared" si="1"/>
        <v>-0.67492624372788579</v>
      </c>
      <c r="Q17" s="65">
        <f t="shared" si="2"/>
        <v>-0.35226738551297054</v>
      </c>
    </row>
    <row r="18" spans="1:17" s="175" customFormat="1" ht="28.2" thickBot="1">
      <c r="A18" s="174" t="s">
        <v>131</v>
      </c>
      <c r="B18" s="174"/>
      <c r="C18" s="179" t="str">
        <f>C17</f>
        <v>SNG vehicle</v>
      </c>
      <c r="D18" s="180"/>
      <c r="E18" s="180">
        <f t="shared" si="4"/>
        <v>7.35</v>
      </c>
      <c r="F18" s="181" t="str">
        <f t="shared" si="4"/>
        <v>cubic meter/100km</v>
      </c>
      <c r="G18" s="209">
        <f t="shared" si="4"/>
        <v>2.8591499999999996</v>
      </c>
      <c r="H18" s="181"/>
      <c r="I18" s="176">
        <f>G18*WTPs!B34</f>
        <v>6.036701131051025</v>
      </c>
      <c r="J18" s="176">
        <f>G18*WTPs!C34</f>
        <v>1.5356237209833735E-2</v>
      </c>
      <c r="K18" s="176">
        <f>WTPs!D34*'WTW -small-ctl n SNG v'!G18</f>
        <v>8.3008684287780993E-2</v>
      </c>
      <c r="L18" s="176">
        <f t="shared" si="0"/>
        <v>6.1350660525486393</v>
      </c>
      <c r="N18" s="178">
        <f>G18*WTPs!G34</f>
        <v>351.69399037460454</v>
      </c>
      <c r="O18" s="186"/>
      <c r="P18" s="187">
        <f t="shared" si="1"/>
        <v>-0.67092875620089787</v>
      </c>
      <c r="Q18" s="188">
        <f t="shared" si="2"/>
        <v>-0.34529047173550786</v>
      </c>
    </row>
    <row r="21" spans="1:17">
      <c r="C21" s="107" t="s">
        <v>171</v>
      </c>
      <c r="D21" s="89" t="s">
        <v>172</v>
      </c>
      <c r="E21" s="89" t="s">
        <v>173</v>
      </c>
      <c r="F21" s="90" t="s">
        <v>174</v>
      </c>
      <c r="G21" s="119" t="s">
        <v>175</v>
      </c>
      <c r="H21" s="120" t="s">
        <v>176</v>
      </c>
    </row>
    <row r="22" spans="1:17">
      <c r="C22" s="101"/>
      <c r="D22" s="125"/>
      <c r="E22" s="125" t="s">
        <v>177</v>
      </c>
      <c r="F22" s="130" t="s">
        <v>178</v>
      </c>
      <c r="G22" s="130"/>
      <c r="H22" s="131"/>
    </row>
    <row r="23" spans="1:17">
      <c r="C23" s="107" t="str">
        <f>A6</f>
        <v>Gasoline</v>
      </c>
      <c r="D23" s="89" t="str">
        <f>C6</f>
        <v>gasoline vehicle</v>
      </c>
      <c r="E23" s="132">
        <f>L6</f>
        <v>3.6716502901641443</v>
      </c>
      <c r="F23" s="90">
        <f>N6</f>
        <v>261.4260620763169</v>
      </c>
      <c r="G23" s="119"/>
      <c r="H23" s="120"/>
    </row>
    <row r="24" spans="1:17">
      <c r="C24" s="93" t="str">
        <f t="shared" ref="C24:C35" si="5">A7</f>
        <v>Diesel</v>
      </c>
      <c r="D24" s="94" t="str">
        <f t="shared" ref="D24:D34" si="6">C7</f>
        <v>diesel vehicle</v>
      </c>
      <c r="E24" s="121">
        <f t="shared" ref="E24:E32" si="7">L7</f>
        <v>3.1630570661179411</v>
      </c>
      <c r="F24" s="122">
        <f t="shared" ref="F24:F35" si="8">N7</f>
        <v>232.04116261048478</v>
      </c>
      <c r="G24" s="123">
        <f>P7</f>
        <v>0.13851897208420305</v>
      </c>
      <c r="H24" s="124">
        <f>Q7</f>
        <v>0.11240233369408259</v>
      </c>
    </row>
    <row r="25" spans="1:17">
      <c r="C25" s="101" t="str">
        <f t="shared" si="5"/>
        <v>CNG</v>
      </c>
      <c r="D25" s="125" t="str">
        <f t="shared" si="6"/>
        <v>NG vehicle</v>
      </c>
      <c r="E25" s="126">
        <f t="shared" si="7"/>
        <v>3.463727718578693</v>
      </c>
      <c r="F25" s="127">
        <f t="shared" si="8"/>
        <v>209.86988075222254</v>
      </c>
      <c r="G25" s="128">
        <f>P8</f>
        <v>5.6629187192050345E-2</v>
      </c>
      <c r="H25" s="129">
        <f>Q8</f>
        <v>0.19721132971449418</v>
      </c>
    </row>
    <row r="26" spans="1:17">
      <c r="C26" s="93"/>
      <c r="D26" s="94"/>
      <c r="E26" s="121"/>
      <c r="F26" s="122"/>
      <c r="G26" s="123"/>
      <c r="H26" s="124"/>
    </row>
    <row r="27" spans="1:17">
      <c r="C27" s="107" t="str">
        <f t="shared" si="5"/>
        <v>CTL</v>
      </c>
      <c r="D27" s="89" t="str">
        <f t="shared" si="6"/>
        <v>CTL vehicle</v>
      </c>
      <c r="E27" s="132">
        <f t="shared" si="7"/>
        <v>6.6940571360182641</v>
      </c>
      <c r="F27" s="90">
        <f t="shared" si="8"/>
        <v>611.98768629626659</v>
      </c>
      <c r="G27" s="133">
        <f t="shared" ref="G27:H30" si="9">P10</f>
        <v>-0.82317394277737721</v>
      </c>
      <c r="H27" s="134">
        <f t="shared" si="9"/>
        <v>-1.3409589749227524</v>
      </c>
    </row>
    <row r="28" spans="1:17" s="175" customFormat="1">
      <c r="C28" s="189" t="str">
        <f t="shared" si="5"/>
        <v>CTL(2)</v>
      </c>
      <c r="D28" s="190" t="str">
        <f t="shared" si="6"/>
        <v>CTL vehicle</v>
      </c>
      <c r="E28" s="191">
        <f t="shared" si="7"/>
        <v>5.5295936204893694</v>
      </c>
      <c r="F28" s="192">
        <f t="shared" si="8"/>
        <v>505.58248589995389</v>
      </c>
      <c r="G28" s="193">
        <f t="shared" si="9"/>
        <v>-0.50602404463802131</v>
      </c>
      <c r="H28" s="194">
        <f t="shared" si="9"/>
        <v>-0.93394064036492863</v>
      </c>
    </row>
    <row r="29" spans="1:17">
      <c r="C29" s="93" t="str">
        <f t="shared" si="5"/>
        <v>CTL+CCS</v>
      </c>
      <c r="D29" s="94" t="str">
        <f t="shared" si="6"/>
        <v>CTL vehicle</v>
      </c>
      <c r="E29" s="121">
        <f t="shared" si="7"/>
        <v>8.2789546039752349</v>
      </c>
      <c r="F29" s="122">
        <f t="shared" si="8"/>
        <v>367.94519094565584</v>
      </c>
      <c r="G29" s="123">
        <f t="shared" si="9"/>
        <v>-1.2548320100510217</v>
      </c>
      <c r="H29" s="124">
        <f t="shared" si="9"/>
        <v>-0.40745413071418768</v>
      </c>
    </row>
    <row r="30" spans="1:17" s="175" customFormat="1">
      <c r="C30" s="195" t="str">
        <f t="shared" si="5"/>
        <v>CTL+CCS (2)</v>
      </c>
      <c r="D30" s="196" t="str">
        <f t="shared" si="6"/>
        <v>CTL vehicle</v>
      </c>
      <c r="E30" s="197">
        <f t="shared" si="7"/>
        <v>6.6118353722404981</v>
      </c>
      <c r="F30" s="198">
        <f t="shared" si="8"/>
        <v>400.38969313454442</v>
      </c>
      <c r="G30" s="199">
        <f t="shared" si="9"/>
        <v>-0.80078026220326937</v>
      </c>
      <c r="H30" s="200">
        <f t="shared" si="9"/>
        <v>-0.53155997513997089</v>
      </c>
    </row>
    <row r="31" spans="1:17">
      <c r="C31" s="93"/>
      <c r="D31" s="94"/>
      <c r="E31" s="121"/>
      <c r="F31" s="122"/>
      <c r="G31" s="123"/>
      <c r="H31" s="124"/>
    </row>
    <row r="32" spans="1:17">
      <c r="C32" s="107" t="str">
        <f t="shared" si="5"/>
        <v>SNG</v>
      </c>
      <c r="D32" s="89" t="str">
        <f t="shared" si="6"/>
        <v>SNG vehicle</v>
      </c>
      <c r="E32" s="132">
        <f t="shared" si="7"/>
        <v>6.1350660525486393</v>
      </c>
      <c r="F32" s="90">
        <f t="shared" si="8"/>
        <v>556.30833873953361</v>
      </c>
      <c r="G32" s="133">
        <f t="shared" ref="G32:H35" si="10">P15</f>
        <v>-0.67092875620089787</v>
      </c>
      <c r="H32" s="134">
        <f t="shared" si="10"/>
        <v>-1.1279758197066561</v>
      </c>
    </row>
    <row r="33" spans="3:8" s="175" customFormat="1">
      <c r="C33" s="189" t="str">
        <f>A16</f>
        <v>SNG (2)</v>
      </c>
      <c r="D33" s="190" t="str">
        <f t="shared" si="6"/>
        <v>SNG vehicle</v>
      </c>
      <c r="E33" s="191">
        <f>L16</f>
        <v>6.1350660525486393</v>
      </c>
      <c r="F33" s="192">
        <f t="shared" si="8"/>
        <v>556.30833873953361</v>
      </c>
      <c r="G33" s="193">
        <f t="shared" si="10"/>
        <v>-0.67092875620089787</v>
      </c>
      <c r="H33" s="194">
        <f t="shared" si="10"/>
        <v>-1.1279758197066561</v>
      </c>
    </row>
    <row r="34" spans="3:8">
      <c r="C34" s="93" t="str">
        <f t="shared" si="5"/>
        <v>SNG+CCS</v>
      </c>
      <c r="D34" s="94" t="str">
        <f t="shared" si="6"/>
        <v>SNG vehicle</v>
      </c>
      <c r="E34" s="121">
        <f>L17</f>
        <v>6.1497434287870325</v>
      </c>
      <c r="F34" s="122">
        <f t="shared" si="8"/>
        <v>353.51793746889257</v>
      </c>
      <c r="G34" s="123">
        <f t="shared" si="10"/>
        <v>-0.67492624372788579</v>
      </c>
      <c r="H34" s="124">
        <f t="shared" si="10"/>
        <v>-0.35226738551297054</v>
      </c>
    </row>
    <row r="35" spans="3:8" s="175" customFormat="1">
      <c r="C35" s="195" t="str">
        <f t="shared" si="5"/>
        <v>SNG+CCS (2)</v>
      </c>
      <c r="D35" s="196" t="str">
        <f>C18</f>
        <v>SNG vehicle</v>
      </c>
      <c r="E35" s="197">
        <f>L18</f>
        <v>6.1350660525486393</v>
      </c>
      <c r="F35" s="198">
        <f t="shared" si="8"/>
        <v>351.69399037460454</v>
      </c>
      <c r="G35" s="199">
        <f t="shared" si="10"/>
        <v>-0.67092875620089787</v>
      </c>
      <c r="H35" s="200">
        <f t="shared" si="10"/>
        <v>-0.34529047173550786</v>
      </c>
    </row>
    <row r="36" spans="3:8">
      <c r="F36" s="86"/>
      <c r="G36" s="118"/>
      <c r="H36" s="118"/>
    </row>
  </sheetData>
  <phoneticPr fontId="2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25" sqref="J25"/>
    </sheetView>
  </sheetViews>
  <sheetFormatPr defaultRowHeight="14.4"/>
  <sheetData>
    <row r="1" spans="1:10">
      <c r="A1" s="138" t="s">
        <v>289</v>
      </c>
      <c r="B1" s="154">
        <v>250</v>
      </c>
      <c r="C1" s="138" t="s">
        <v>290</v>
      </c>
      <c r="F1" s="138" t="s">
        <v>285</v>
      </c>
    </row>
    <row r="2" spans="1:10">
      <c r="A2" s="138" t="s">
        <v>284</v>
      </c>
    </row>
    <row r="3" spans="1:10">
      <c r="A3" s="138">
        <v>100</v>
      </c>
      <c r="B3" s="138" t="s">
        <v>286</v>
      </c>
      <c r="D3" s="138" t="s">
        <v>288</v>
      </c>
    </row>
    <row r="4" spans="1:10">
      <c r="A4">
        <f>A3*0.001*1.055</f>
        <v>0.1055</v>
      </c>
      <c r="B4" s="138" t="s">
        <v>287</v>
      </c>
      <c r="C4" s="138"/>
      <c r="G4" s="138"/>
    </row>
    <row r="5" spans="1:10">
      <c r="A5">
        <f>A4*B1</f>
        <v>26.375</v>
      </c>
      <c r="B5" s="138" t="s">
        <v>291</v>
      </c>
      <c r="E5" s="138" t="s">
        <v>292</v>
      </c>
      <c r="F5" s="138" t="s">
        <v>293</v>
      </c>
      <c r="G5" s="138" t="s">
        <v>294</v>
      </c>
      <c r="H5" s="138" t="s">
        <v>296</v>
      </c>
      <c r="I5" s="138" t="s">
        <v>297</v>
      </c>
      <c r="J5" s="138" t="s">
        <v>298</v>
      </c>
    </row>
    <row r="6" spans="1:10">
      <c r="B6" s="138" t="s">
        <v>292</v>
      </c>
      <c r="C6">
        <f>A5*'LC factor'!L15</f>
        <v>63.493143410887164</v>
      </c>
      <c r="D6" s="138" t="s">
        <v>291</v>
      </c>
      <c r="E6">
        <f>C6</f>
        <v>63.493143410887164</v>
      </c>
      <c r="F6" s="138">
        <f>C7</f>
        <v>4.9368300930940485</v>
      </c>
      <c r="G6" s="153">
        <f>C8</f>
        <v>1.7949338663883421</v>
      </c>
      <c r="H6" s="138">
        <f>C9</f>
        <v>5596.8149000377289</v>
      </c>
      <c r="I6">
        <f>C10</f>
        <v>26.228035716063221</v>
      </c>
      <c r="J6">
        <f>C11</f>
        <v>8.8115432421863288E-2</v>
      </c>
    </row>
    <row r="7" spans="1:10">
      <c r="B7" s="138" t="s">
        <v>293</v>
      </c>
      <c r="C7">
        <f>A5*'LC factor'!L16</f>
        <v>4.9368300930940485</v>
      </c>
      <c r="D7" s="138" t="s">
        <v>291</v>
      </c>
      <c r="F7" s="138"/>
      <c r="G7" s="153"/>
      <c r="H7" s="138"/>
    </row>
    <row r="8" spans="1:10">
      <c r="B8" s="138" t="s">
        <v>294</v>
      </c>
      <c r="C8">
        <f>A5*'LC factor'!L17</f>
        <v>1.7949338663883421</v>
      </c>
      <c r="D8" s="138" t="s">
        <v>291</v>
      </c>
      <c r="F8" s="138"/>
      <c r="G8" s="153"/>
      <c r="H8" s="138"/>
    </row>
    <row r="9" spans="1:10">
      <c r="B9" s="138" t="s">
        <v>296</v>
      </c>
      <c r="C9">
        <f>A5*'LC factor'!L18</f>
        <v>5596.8149000377289</v>
      </c>
      <c r="D9" s="138" t="s">
        <v>295</v>
      </c>
    </row>
    <row r="10" spans="1:10">
      <c r="B10" s="138" t="s">
        <v>297</v>
      </c>
      <c r="C10">
        <f>A5*'LC factor'!L19</f>
        <v>26.228035716063221</v>
      </c>
      <c r="D10" s="138" t="s">
        <v>295</v>
      </c>
    </row>
    <row r="11" spans="1:10">
      <c r="B11" s="138" t="s">
        <v>298</v>
      </c>
      <c r="C11">
        <f>A5*'LC factor'!L20</f>
        <v>8.8115432421863288E-2</v>
      </c>
      <c r="D11" s="138" t="s">
        <v>299</v>
      </c>
    </row>
    <row r="12" spans="1:10">
      <c r="A12" s="138"/>
    </row>
  </sheetData>
  <phoneticPr fontId="2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J25" sqref="J25"/>
    </sheetView>
  </sheetViews>
  <sheetFormatPr defaultRowHeight="14.4"/>
  <sheetData>
    <row r="1" spans="1:12" ht="15" thickBot="1"/>
    <row r="2" spans="1:12">
      <c r="A2" s="36" t="s">
        <v>181</v>
      </c>
      <c r="B2" s="37" t="s">
        <v>182</v>
      </c>
      <c r="C2" s="38"/>
    </row>
    <row r="3" spans="1:12" ht="15" thickBot="1">
      <c r="A3" s="41"/>
      <c r="B3" s="42" t="s">
        <v>183</v>
      </c>
      <c r="C3" s="43"/>
    </row>
    <row r="5" spans="1:12">
      <c r="K5" s="138" t="s">
        <v>268</v>
      </c>
    </row>
    <row r="6" spans="1:12">
      <c r="K6" s="254" t="s">
        <v>360</v>
      </c>
      <c r="L6" s="177" t="s">
        <v>272</v>
      </c>
    </row>
    <row r="7" spans="1:12">
      <c r="B7" t="s">
        <v>184</v>
      </c>
      <c r="F7">
        <v>2E-3</v>
      </c>
      <c r="G7" s="138" t="s">
        <v>264</v>
      </c>
      <c r="H7" s="138" t="s">
        <v>266</v>
      </c>
      <c r="I7" s="138"/>
    </row>
    <row r="8" spans="1:12">
      <c r="B8" t="s">
        <v>185</v>
      </c>
      <c r="F8">
        <v>4.7E-2</v>
      </c>
      <c r="G8" s="138" t="s">
        <v>264</v>
      </c>
      <c r="H8" s="138" t="s">
        <v>265</v>
      </c>
      <c r="I8" s="138"/>
    </row>
    <row r="9" spans="1:12">
      <c r="B9" t="s">
        <v>186</v>
      </c>
    </row>
    <row r="10" spans="1:12">
      <c r="C10" t="s">
        <v>187</v>
      </c>
      <c r="F10">
        <v>0.68</v>
      </c>
      <c r="G10" s="138" t="s">
        <v>264</v>
      </c>
      <c r="H10" s="138" t="s">
        <v>267</v>
      </c>
      <c r="I10" s="138"/>
      <c r="K10">
        <v>36.1</v>
      </c>
      <c r="L10" s="177"/>
    </row>
    <row r="11" spans="1:12">
      <c r="C11" s="135" t="s">
        <v>189</v>
      </c>
      <c r="F11">
        <v>1.31</v>
      </c>
      <c r="G11" s="138" t="s">
        <v>264</v>
      </c>
      <c r="H11" s="138" t="s">
        <v>267</v>
      </c>
      <c r="I11" s="138"/>
      <c r="K11">
        <v>26.5</v>
      </c>
      <c r="L11" s="177"/>
    </row>
    <row r="12" spans="1:12">
      <c r="C12" t="s">
        <v>188</v>
      </c>
      <c r="F12">
        <v>0.51</v>
      </c>
      <c r="G12" s="138" t="s">
        <v>264</v>
      </c>
      <c r="K12">
        <v>45.6</v>
      </c>
      <c r="L12" s="177">
        <v>46.8</v>
      </c>
    </row>
    <row r="13" spans="1:12">
      <c r="C13" s="135" t="s">
        <v>189</v>
      </c>
      <c r="F13">
        <v>0.93</v>
      </c>
      <c r="G13" s="138" t="s">
        <v>264</v>
      </c>
      <c r="K13">
        <v>35.9</v>
      </c>
      <c r="L13" s="177">
        <v>38.799999999999997</v>
      </c>
    </row>
    <row r="14" spans="1:12">
      <c r="C14" s="136" t="s">
        <v>190</v>
      </c>
      <c r="F14">
        <v>0.32</v>
      </c>
      <c r="G14" s="138" t="s">
        <v>264</v>
      </c>
      <c r="K14">
        <v>40.4</v>
      </c>
      <c r="L14" s="177">
        <v>43.7</v>
      </c>
    </row>
    <row r="15" spans="1:12">
      <c r="C15" s="135" t="s">
        <v>189</v>
      </c>
      <c r="F15">
        <v>0.57999999999999996</v>
      </c>
      <c r="G15" s="138" t="s">
        <v>264</v>
      </c>
      <c r="K15">
        <v>32.799999999999997</v>
      </c>
      <c r="L15" s="177">
        <v>37.5</v>
      </c>
    </row>
    <row r="16" spans="1:12">
      <c r="C16" s="135" t="s">
        <v>358</v>
      </c>
      <c r="F16">
        <v>0.39</v>
      </c>
      <c r="G16" s="138" t="s">
        <v>264</v>
      </c>
      <c r="K16">
        <v>43.2</v>
      </c>
      <c r="L16" s="177"/>
    </row>
    <row r="17" spans="3:15">
      <c r="C17" s="135" t="s">
        <v>359</v>
      </c>
      <c r="F17">
        <v>0.72</v>
      </c>
      <c r="G17" s="138" t="s">
        <v>264</v>
      </c>
      <c r="K17">
        <v>36.4</v>
      </c>
      <c r="L17" s="177"/>
    </row>
    <row r="18" spans="3:15">
      <c r="C18" s="136" t="s">
        <v>191</v>
      </c>
      <c r="F18">
        <v>0.16</v>
      </c>
      <c r="G18" s="138" t="s">
        <v>264</v>
      </c>
      <c r="K18">
        <v>40.700000000000003</v>
      </c>
      <c r="L18" s="177"/>
    </row>
    <row r="19" spans="3:15">
      <c r="C19" s="135" t="s">
        <v>189</v>
      </c>
      <c r="F19">
        <v>0.24</v>
      </c>
      <c r="G19" s="138" t="s">
        <v>264</v>
      </c>
      <c r="K19">
        <v>33</v>
      </c>
      <c r="L19" s="177"/>
    </row>
    <row r="20" spans="3:15">
      <c r="C20" s="136" t="s">
        <v>192</v>
      </c>
      <c r="F20">
        <v>0.25</v>
      </c>
      <c r="G20" s="138" t="s">
        <v>264</v>
      </c>
      <c r="K20">
        <v>51</v>
      </c>
      <c r="L20" s="177">
        <v>59.5</v>
      </c>
    </row>
    <row r="21" spans="3:15">
      <c r="C21" s="135" t="s">
        <v>189</v>
      </c>
      <c r="F21">
        <v>0.24</v>
      </c>
      <c r="G21" s="138" t="s">
        <v>264</v>
      </c>
      <c r="K21">
        <v>51</v>
      </c>
      <c r="L21" s="177">
        <v>59.5</v>
      </c>
    </row>
    <row r="22" spans="3:15">
      <c r="E22" s="138" t="s">
        <v>269</v>
      </c>
      <c r="F22" s="138" t="s">
        <v>270</v>
      </c>
      <c r="G22" s="138" t="s">
        <v>271</v>
      </c>
      <c r="H22" s="138" t="s">
        <v>364</v>
      </c>
      <c r="I22" s="138"/>
      <c r="J22" s="177" t="s">
        <v>361</v>
      </c>
      <c r="K22" s="177" t="s">
        <v>362</v>
      </c>
      <c r="L22" s="177" t="s">
        <v>271</v>
      </c>
      <c r="M22" s="177"/>
      <c r="N22" s="177" t="s">
        <v>363</v>
      </c>
      <c r="O22" s="177" t="s">
        <v>357</v>
      </c>
    </row>
    <row r="23" spans="3:15">
      <c r="C23" t="str">
        <f t="shared" ref="C23:C34" si="0">C10</f>
        <v>subcritical</v>
      </c>
      <c r="E23" s="151">
        <f t="shared" ref="E23:E34" si="1">$F$7*100/K10</f>
        <v>5.5401662049861496E-3</v>
      </c>
      <c r="F23" s="151">
        <f t="shared" ref="F23:F34" si="2">$F$8*100/K10</f>
        <v>0.13019390581717452</v>
      </c>
      <c r="G23">
        <f t="shared" ref="G23:G34" si="3">F10</f>
        <v>0.68</v>
      </c>
      <c r="H23" s="20">
        <f>E23+F23+G23</f>
        <v>0.81573407202216075</v>
      </c>
      <c r="I23" s="20">
        <f>H23*K10/100</f>
        <v>0.29448000000000002</v>
      </c>
      <c r="J23" s="255"/>
      <c r="K23" s="255"/>
      <c r="L23" s="177"/>
      <c r="M23" s="177"/>
      <c r="N23" s="255">
        <f>SUM(E23:G23)</f>
        <v>0.81573407202216075</v>
      </c>
      <c r="O23" s="255"/>
    </row>
    <row r="24" spans="3:15">
      <c r="C24" t="str">
        <f t="shared" si="0"/>
        <v>+CCS</v>
      </c>
      <c r="E24" s="151">
        <f t="shared" si="1"/>
        <v>7.5471698113207548E-3</v>
      </c>
      <c r="F24" s="151">
        <f t="shared" si="2"/>
        <v>0.17735849056603775</v>
      </c>
      <c r="G24">
        <f t="shared" si="3"/>
        <v>1.31</v>
      </c>
      <c r="H24" s="20">
        <f t="shared" ref="H24:H34" si="4">E24+F24+G24</f>
        <v>1.4949056603773585</v>
      </c>
      <c r="I24" s="20">
        <f t="shared" ref="I24:I34" si="5">H24*K11/100</f>
        <v>0.39615</v>
      </c>
      <c r="J24" s="255"/>
      <c r="K24" s="255"/>
      <c r="L24" s="177"/>
      <c r="M24" s="177"/>
      <c r="N24" s="255">
        <f>SUM(E24:G24)</f>
        <v>1.4949056603773585</v>
      </c>
      <c r="O24" s="255"/>
    </row>
    <row r="25" spans="3:15">
      <c r="C25" t="str">
        <f t="shared" si="0"/>
        <v>ultracritical</v>
      </c>
      <c r="E25" s="151">
        <f t="shared" si="1"/>
        <v>4.3859649122807015E-3</v>
      </c>
      <c r="F25" s="151">
        <f t="shared" si="2"/>
        <v>0.10307017543859649</v>
      </c>
      <c r="G25">
        <f t="shared" si="3"/>
        <v>0.51</v>
      </c>
      <c r="H25" s="20">
        <f t="shared" si="4"/>
        <v>0.61745614035087715</v>
      </c>
      <c r="I25" s="20">
        <f t="shared" si="5"/>
        <v>0.28155999999999998</v>
      </c>
      <c r="J25" s="255">
        <f>$F$7*100/L12</f>
        <v>4.2735042735042739E-3</v>
      </c>
      <c r="K25" s="255">
        <f>$F$8*100/L12</f>
        <v>0.10042735042735043</v>
      </c>
      <c r="L25" s="177">
        <f>F12</f>
        <v>0.51</v>
      </c>
      <c r="M25" s="177"/>
      <c r="N25" s="255">
        <f>SUM(J25:L25)</f>
        <v>0.61470085470085467</v>
      </c>
      <c r="O25" s="255">
        <f>J25+K25+L25</f>
        <v>0.61470085470085467</v>
      </c>
    </row>
    <row r="26" spans="3:15">
      <c r="C26" t="str">
        <f t="shared" si="0"/>
        <v>+CCS</v>
      </c>
      <c r="E26" s="151">
        <f t="shared" si="1"/>
        <v>5.5710306406685246E-3</v>
      </c>
      <c r="F26" s="151">
        <f t="shared" si="2"/>
        <v>0.13091922005571033</v>
      </c>
      <c r="G26">
        <f t="shared" si="3"/>
        <v>0.93</v>
      </c>
      <c r="H26" s="20">
        <f t="shared" si="4"/>
        <v>1.0664902506963789</v>
      </c>
      <c r="I26" s="20">
        <f t="shared" si="5"/>
        <v>0.38286999999999999</v>
      </c>
      <c r="J26" s="255">
        <f>$F$7*100/L13</f>
        <v>5.1546391752577327E-3</v>
      </c>
      <c r="K26" s="255">
        <f>$F$8*100/L13</f>
        <v>0.12113402061855671</v>
      </c>
      <c r="L26" s="177">
        <f>F13</f>
        <v>0.93</v>
      </c>
      <c r="M26" s="177"/>
      <c r="N26" s="255">
        <f>SUM(J26:L26)</f>
        <v>1.0562886597938146</v>
      </c>
      <c r="O26" s="255">
        <f>J26+K26+L26</f>
        <v>1.0562886597938146</v>
      </c>
    </row>
    <row r="27" spans="3:15">
      <c r="C27" t="str">
        <f t="shared" si="0"/>
        <v>IGCC</v>
      </c>
      <c r="E27" s="151">
        <f t="shared" si="1"/>
        <v>4.9504950495049506E-3</v>
      </c>
      <c r="F27" s="151">
        <f t="shared" si="2"/>
        <v>0.11633663366336634</v>
      </c>
      <c r="G27">
        <f t="shared" si="3"/>
        <v>0.32</v>
      </c>
      <c r="H27" s="20">
        <f t="shared" si="4"/>
        <v>0.44128712871287129</v>
      </c>
      <c r="I27" s="20">
        <f t="shared" si="5"/>
        <v>0.17827999999999999</v>
      </c>
      <c r="J27" s="255">
        <f>$F$7*100/L14</f>
        <v>4.5766590389016018E-3</v>
      </c>
      <c r="K27" s="255">
        <f>$F$8*100/L14</f>
        <v>0.10755148741418764</v>
      </c>
      <c r="L27" s="177">
        <f>F14</f>
        <v>0.32</v>
      </c>
      <c r="M27" s="177"/>
      <c r="N27" s="255">
        <f>SUM(J27:L27)</f>
        <v>0.43212814645308928</v>
      </c>
      <c r="O27" s="255">
        <f>J27+K27+L27</f>
        <v>0.43212814645308928</v>
      </c>
    </row>
    <row r="28" spans="3:15">
      <c r="C28" t="str">
        <f t="shared" si="0"/>
        <v>+CCS</v>
      </c>
      <c r="E28" s="151">
        <f t="shared" si="1"/>
        <v>6.0975609756097572E-3</v>
      </c>
      <c r="F28" s="151">
        <f t="shared" si="2"/>
        <v>0.14329268292682928</v>
      </c>
      <c r="G28">
        <f t="shared" si="3"/>
        <v>0.57999999999999996</v>
      </c>
      <c r="H28" s="20">
        <f t="shared" si="4"/>
        <v>0.72939024390243901</v>
      </c>
      <c r="I28" s="20">
        <f t="shared" si="5"/>
        <v>0.23923999999999995</v>
      </c>
      <c r="J28" s="255">
        <f>$F$7*100/L15</f>
        <v>5.333333333333334E-3</v>
      </c>
      <c r="K28" s="255">
        <f>$F$8*100/L15</f>
        <v>0.12533333333333332</v>
      </c>
      <c r="L28" s="177">
        <f>F15</f>
        <v>0.57999999999999996</v>
      </c>
      <c r="M28" s="177"/>
      <c r="N28" s="255">
        <f>SUM(J28:L28)</f>
        <v>0.71066666666666656</v>
      </c>
      <c r="O28" s="255">
        <f>J28+K28+L28</f>
        <v>0.71066666666666656</v>
      </c>
    </row>
    <row r="29" spans="3:15">
      <c r="C29" t="str">
        <f t="shared" si="0"/>
        <v>IGCC(Best)</v>
      </c>
      <c r="E29" s="151">
        <f t="shared" si="1"/>
        <v>4.6296296296296294E-3</v>
      </c>
      <c r="F29" s="151">
        <f t="shared" si="2"/>
        <v>0.10879629629629629</v>
      </c>
      <c r="G29">
        <f t="shared" si="3"/>
        <v>0.39</v>
      </c>
      <c r="H29" s="20">
        <f t="shared" si="4"/>
        <v>0.50342592592592594</v>
      </c>
      <c r="I29" s="20">
        <f t="shared" si="5"/>
        <v>0.21748000000000001</v>
      </c>
      <c r="J29" s="255"/>
      <c r="K29" s="255"/>
      <c r="L29" s="177"/>
      <c r="M29" s="177"/>
      <c r="N29" s="255"/>
      <c r="O29" s="255"/>
    </row>
    <row r="30" spans="3:15">
      <c r="C30" t="str">
        <f t="shared" si="0"/>
        <v>+CCS</v>
      </c>
      <c r="E30" s="151">
        <f t="shared" si="1"/>
        <v>5.4945054945054949E-3</v>
      </c>
      <c r="F30" s="151">
        <f t="shared" si="2"/>
        <v>0.12912087912087913</v>
      </c>
      <c r="G30">
        <f t="shared" si="3"/>
        <v>0.72</v>
      </c>
      <c r="H30" s="20">
        <f t="shared" si="4"/>
        <v>0.85461538461538455</v>
      </c>
      <c r="I30" s="20">
        <f t="shared" si="5"/>
        <v>0.31107999999999997</v>
      </c>
      <c r="J30" s="255"/>
      <c r="K30" s="255"/>
      <c r="L30" s="177"/>
      <c r="M30" s="177"/>
      <c r="N30" s="255"/>
      <c r="O30" s="255"/>
    </row>
    <row r="31" spans="3:15">
      <c r="C31" t="str">
        <f t="shared" si="0"/>
        <v>CtL</v>
      </c>
      <c r="E31" s="151">
        <f t="shared" si="1"/>
        <v>4.9140049140049139E-3</v>
      </c>
      <c r="F31" s="151">
        <f t="shared" si="2"/>
        <v>0.11547911547911548</v>
      </c>
      <c r="G31">
        <f t="shared" si="3"/>
        <v>0.16</v>
      </c>
      <c r="H31" s="20">
        <f t="shared" si="4"/>
        <v>0.28039312039312037</v>
      </c>
      <c r="I31" s="20">
        <f t="shared" si="5"/>
        <v>0.11411999999999999</v>
      </c>
      <c r="J31" s="255"/>
      <c r="K31" s="255"/>
      <c r="L31" s="177"/>
      <c r="M31" s="177"/>
      <c r="N31" s="255">
        <f>SUM(E31:G31)</f>
        <v>0.28039312039312037</v>
      </c>
      <c r="O31" s="255"/>
    </row>
    <row r="32" spans="3:15">
      <c r="C32" t="str">
        <f t="shared" si="0"/>
        <v>+CCS</v>
      </c>
      <c r="E32" s="151">
        <f t="shared" si="1"/>
        <v>6.0606060606060606E-3</v>
      </c>
      <c r="F32" s="151">
        <f t="shared" si="2"/>
        <v>0.14242424242424243</v>
      </c>
      <c r="G32">
        <f t="shared" si="3"/>
        <v>0.24</v>
      </c>
      <c r="H32" s="20">
        <f t="shared" si="4"/>
        <v>0.38848484848484849</v>
      </c>
      <c r="I32" s="20">
        <f t="shared" si="5"/>
        <v>0.12820000000000001</v>
      </c>
      <c r="J32" s="255"/>
      <c r="K32" s="255"/>
      <c r="L32" s="177"/>
      <c r="M32" s="177"/>
      <c r="N32" s="255">
        <f>SUM(E32:G32)</f>
        <v>0.38848484848484849</v>
      </c>
      <c r="O32" s="255"/>
    </row>
    <row r="33" spans="3:15">
      <c r="C33" t="str">
        <f t="shared" si="0"/>
        <v>SNG</v>
      </c>
      <c r="E33" s="151">
        <f t="shared" si="1"/>
        <v>3.9215686274509803E-3</v>
      </c>
      <c r="F33" s="151">
        <f t="shared" si="2"/>
        <v>9.2156862745098045E-2</v>
      </c>
      <c r="G33">
        <f t="shared" si="3"/>
        <v>0.25</v>
      </c>
      <c r="H33" s="20">
        <f t="shared" si="4"/>
        <v>0.34607843137254901</v>
      </c>
      <c r="I33" s="20">
        <f t="shared" si="5"/>
        <v>0.17649999999999999</v>
      </c>
      <c r="J33" s="255">
        <f>$F$7*100/L20</f>
        <v>3.3613445378151263E-3</v>
      </c>
      <c r="K33" s="255">
        <f>$F$8*100/L20</f>
        <v>7.8991596638655459E-2</v>
      </c>
      <c r="L33" s="177">
        <f>F20</f>
        <v>0.25</v>
      </c>
      <c r="M33" s="177"/>
      <c r="N33" s="255">
        <f>SUM(E33:G33)</f>
        <v>0.34607843137254901</v>
      </c>
      <c r="O33" s="255">
        <f>J33+K33+L33</f>
        <v>0.33235294117647057</v>
      </c>
    </row>
    <row r="34" spans="3:15">
      <c r="C34" t="str">
        <f t="shared" si="0"/>
        <v>+CCS</v>
      </c>
      <c r="E34" s="151">
        <f t="shared" si="1"/>
        <v>3.9215686274509803E-3</v>
      </c>
      <c r="F34" s="151">
        <f t="shared" si="2"/>
        <v>9.2156862745098045E-2</v>
      </c>
      <c r="G34">
        <f t="shared" si="3"/>
        <v>0.24</v>
      </c>
      <c r="H34" s="20">
        <f t="shared" si="4"/>
        <v>0.336078431372549</v>
      </c>
      <c r="I34" s="20">
        <f t="shared" si="5"/>
        <v>0.1714</v>
      </c>
      <c r="J34" s="255">
        <f>$F$7*100/L21</f>
        <v>3.3613445378151263E-3</v>
      </c>
      <c r="K34" s="255">
        <f>$F$8*100/L21</f>
        <v>7.8991596638655459E-2</v>
      </c>
      <c r="L34" s="177">
        <f>F21</f>
        <v>0.24</v>
      </c>
      <c r="M34" s="177"/>
      <c r="N34" s="255">
        <f>SUM(E34:G34)</f>
        <v>0.336078431372549</v>
      </c>
      <c r="O34" s="255">
        <f>J34+K34+L34</f>
        <v>0.32235294117647056</v>
      </c>
    </row>
  </sheetData>
  <phoneticPr fontId="24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opLeftCell="A29" workbookViewId="0">
      <selection activeCell="J25" sqref="J25"/>
    </sheetView>
  </sheetViews>
  <sheetFormatPr defaultRowHeight="14.4"/>
  <cols>
    <col min="18" max="18" width="15.33203125" customWidth="1"/>
  </cols>
  <sheetData>
    <row r="1" spans="1:19">
      <c r="A1" s="146" t="s">
        <v>206</v>
      </c>
      <c r="B1" s="37"/>
      <c r="C1" s="37"/>
      <c r="D1" s="38"/>
    </row>
    <row r="2" spans="1:19">
      <c r="A2" s="147" t="s">
        <v>207</v>
      </c>
      <c r="B2" s="35"/>
      <c r="C2" s="35">
        <v>1.5</v>
      </c>
      <c r="D2" s="148" t="s">
        <v>236</v>
      </c>
      <c r="S2" t="s">
        <v>235</v>
      </c>
    </row>
    <row r="3" spans="1:19">
      <c r="A3" s="147" t="s">
        <v>237</v>
      </c>
      <c r="B3" s="35"/>
      <c r="C3" s="35">
        <v>1.2</v>
      </c>
      <c r="D3" s="148" t="s">
        <v>236</v>
      </c>
    </row>
    <row r="4" spans="1:19">
      <c r="A4" s="147" t="s">
        <v>238</v>
      </c>
      <c r="B4" s="35"/>
      <c r="C4" s="35">
        <v>0.14399999999999999</v>
      </c>
      <c r="D4" s="148" t="s">
        <v>239</v>
      </c>
    </row>
    <row r="5" spans="1:19" ht="15" thickBot="1">
      <c r="A5" s="149" t="s">
        <v>208</v>
      </c>
      <c r="B5" s="42"/>
      <c r="C5" s="42">
        <v>0.98</v>
      </c>
      <c r="D5" s="43"/>
      <c r="K5" s="138" t="s">
        <v>252</v>
      </c>
    </row>
    <row r="6" spans="1:19">
      <c r="J6" s="138" t="s">
        <v>241</v>
      </c>
      <c r="K6" s="138" t="s">
        <v>253</v>
      </c>
      <c r="L6" s="138" t="s">
        <v>254</v>
      </c>
      <c r="M6" s="138" t="s">
        <v>255</v>
      </c>
      <c r="N6" s="138" t="s">
        <v>257</v>
      </c>
      <c r="O6" s="138" t="s">
        <v>253</v>
      </c>
      <c r="P6" s="138" t="s">
        <v>254</v>
      </c>
      <c r="Q6" s="138" t="s">
        <v>322</v>
      </c>
      <c r="R6" s="138" t="s">
        <v>244</v>
      </c>
    </row>
    <row r="7" spans="1:19">
      <c r="A7" t="s">
        <v>195</v>
      </c>
      <c r="C7" s="137">
        <v>13</v>
      </c>
      <c r="D7" s="138" t="s">
        <v>196</v>
      </c>
      <c r="E7" s="138" t="s">
        <v>200</v>
      </c>
      <c r="G7" s="145">
        <f>C7*C2*C3/C4/C5</f>
        <v>165.81632653061226</v>
      </c>
      <c r="H7" s="138" t="s">
        <v>202</v>
      </c>
      <c r="I7">
        <f>297.7*3.6</f>
        <v>1071.72</v>
      </c>
      <c r="J7" s="138" t="s">
        <v>242</v>
      </c>
      <c r="K7" s="138">
        <v>2.5270000000000001</v>
      </c>
      <c r="L7" s="138">
        <v>2.1000000000000001E-2</v>
      </c>
      <c r="M7" s="138">
        <v>0.33</v>
      </c>
      <c r="N7" s="145">
        <f>G7*3.6*(K7+L7+M7)</f>
        <v>1717.9897959183675</v>
      </c>
      <c r="O7" s="145">
        <f>G7*3.6*(K7)</f>
        <v>1508.4642857142858</v>
      </c>
      <c r="P7" s="145">
        <f>G7*3.6*(L7)</f>
        <v>12.535714285714286</v>
      </c>
      <c r="Q7" s="145">
        <f>G7*3.6*(M7)</f>
        <v>196.98979591836735</v>
      </c>
      <c r="R7" s="145">
        <f>G7*I7/1000</f>
        <v>177.70867346938778</v>
      </c>
      <c r="S7" t="s">
        <v>197</v>
      </c>
    </row>
    <row r="8" spans="1:19">
      <c r="A8" t="s">
        <v>194</v>
      </c>
      <c r="C8">
        <v>180</v>
      </c>
      <c r="D8" s="138" t="s">
        <v>196</v>
      </c>
      <c r="E8" s="138" t="s">
        <v>200</v>
      </c>
      <c r="G8" s="145">
        <f>C8*C3/C4/C5</f>
        <v>1530.6122448979593</v>
      </c>
      <c r="H8" s="138" t="s">
        <v>202</v>
      </c>
      <c r="I8">
        <f>I7</f>
        <v>1071.72</v>
      </c>
      <c r="J8" s="138" t="s">
        <v>242</v>
      </c>
      <c r="K8" s="138">
        <v>2.5270000000000001</v>
      </c>
      <c r="L8" s="138">
        <v>2.1000000000000001E-2</v>
      </c>
      <c r="M8" s="138">
        <v>0.33</v>
      </c>
      <c r="N8" s="145">
        <f t="shared" ref="N8:N15" si="0">G8*3.6*(K8+L8+M8)</f>
        <v>15858.367346938778</v>
      </c>
      <c r="O8" s="145">
        <f t="shared" ref="O8:O15" si="1">G8*3.6*(K8)</f>
        <v>13924.285714285716</v>
      </c>
      <c r="P8" s="145">
        <f t="shared" ref="P8:P15" si="2">G8*3.6*(L8)</f>
        <v>115.71428571428574</v>
      </c>
      <c r="Q8" s="145">
        <f t="shared" ref="Q8:Q15" si="3">G8*3.6*(M8)</f>
        <v>1818.3673469387757</v>
      </c>
      <c r="R8" s="145">
        <f t="shared" ref="R8:R14" si="4">G8*I8/1000</f>
        <v>1640.387755102041</v>
      </c>
      <c r="S8" t="s">
        <v>193</v>
      </c>
    </row>
    <row r="9" spans="1:19">
      <c r="C9">
        <v>140</v>
      </c>
      <c r="D9" s="138" t="s">
        <v>198</v>
      </c>
      <c r="E9" s="138" t="s">
        <v>201</v>
      </c>
      <c r="G9" s="145">
        <f>C9*C3/C4/C5*2.066/3.6</f>
        <v>683.20105820105823</v>
      </c>
      <c r="H9" s="138" t="s">
        <v>202</v>
      </c>
      <c r="I9">
        <f>3.6*104.5</f>
        <v>376.2</v>
      </c>
      <c r="J9" s="138" t="s">
        <v>242</v>
      </c>
      <c r="K9" s="138">
        <v>1.0609999999999999</v>
      </c>
      <c r="L9" s="138">
        <v>1E-3</v>
      </c>
      <c r="M9" s="138">
        <v>0.11</v>
      </c>
      <c r="N9" s="145">
        <f t="shared" si="0"/>
        <v>2882.5619047619048</v>
      </c>
      <c r="O9" s="145">
        <f t="shared" si="1"/>
        <v>2609.554761904762</v>
      </c>
      <c r="P9" s="145">
        <f t="shared" si="2"/>
        <v>2.4595238095238097</v>
      </c>
      <c r="Q9" s="145">
        <f t="shared" si="3"/>
        <v>270.54761904761904</v>
      </c>
      <c r="R9" s="145">
        <f t="shared" si="4"/>
        <v>257.02023809523808</v>
      </c>
    </row>
    <row r="10" spans="1:19">
      <c r="A10" s="138" t="s">
        <v>199</v>
      </c>
      <c r="C10">
        <v>625</v>
      </c>
      <c r="D10" s="138" t="s">
        <v>202</v>
      </c>
      <c r="E10" s="138" t="s">
        <v>200</v>
      </c>
      <c r="G10">
        <f t="shared" ref="G10:H14" si="5">C10</f>
        <v>625</v>
      </c>
      <c r="H10" t="str">
        <f t="shared" si="5"/>
        <v>kWh/kWp</v>
      </c>
      <c r="I10">
        <f>I8</f>
        <v>1071.72</v>
      </c>
      <c r="J10" s="138" t="s">
        <v>242</v>
      </c>
      <c r="K10" s="138">
        <v>2.5270000000000001</v>
      </c>
      <c r="L10" s="138">
        <v>2.1000000000000001E-2</v>
      </c>
      <c r="M10" s="138">
        <v>0.33</v>
      </c>
      <c r="N10" s="145">
        <f t="shared" si="0"/>
        <v>6475.5</v>
      </c>
      <c r="O10" s="145">
        <f t="shared" si="1"/>
        <v>5685.75</v>
      </c>
      <c r="P10" s="145">
        <f t="shared" si="2"/>
        <v>47.25</v>
      </c>
      <c r="Q10" s="145">
        <f t="shared" si="3"/>
        <v>742.5</v>
      </c>
      <c r="R10" s="145">
        <f t="shared" si="4"/>
        <v>669.82500000000005</v>
      </c>
    </row>
    <row r="11" spans="1:19">
      <c r="A11" s="138" t="s">
        <v>203</v>
      </c>
      <c r="C11">
        <v>200</v>
      </c>
      <c r="D11" s="138" t="s">
        <v>202</v>
      </c>
      <c r="E11" s="138" t="s">
        <v>200</v>
      </c>
      <c r="G11">
        <f t="shared" si="5"/>
        <v>200</v>
      </c>
      <c r="H11" t="str">
        <f t="shared" si="5"/>
        <v>kWh/kWp</v>
      </c>
      <c r="I11">
        <f>I10</f>
        <v>1071.72</v>
      </c>
      <c r="J11" s="138" t="s">
        <v>242</v>
      </c>
      <c r="K11" s="138">
        <v>2.5270000000000001</v>
      </c>
      <c r="L11" s="138">
        <v>2.1000000000000001E-2</v>
      </c>
      <c r="M11" s="138">
        <v>0.33</v>
      </c>
      <c r="N11" s="145">
        <f t="shared" si="0"/>
        <v>2072.16</v>
      </c>
      <c r="O11" s="145">
        <f t="shared" si="1"/>
        <v>1819.44</v>
      </c>
      <c r="P11" s="145">
        <f t="shared" si="2"/>
        <v>15.120000000000001</v>
      </c>
      <c r="Q11" s="145">
        <f t="shared" si="3"/>
        <v>237.60000000000002</v>
      </c>
      <c r="R11" s="145">
        <f t="shared" si="4"/>
        <v>214.34399999999999</v>
      </c>
    </row>
    <row r="12" spans="1:19">
      <c r="A12" s="138" t="s">
        <v>204</v>
      </c>
      <c r="C12">
        <v>150</v>
      </c>
      <c r="D12" s="138" t="s">
        <v>202</v>
      </c>
      <c r="E12" s="138" t="s">
        <v>200</v>
      </c>
      <c r="G12">
        <f t="shared" si="5"/>
        <v>150</v>
      </c>
      <c r="H12" t="str">
        <f t="shared" si="5"/>
        <v>kWh/kWp</v>
      </c>
      <c r="I12">
        <f>I11</f>
        <v>1071.72</v>
      </c>
      <c r="J12" s="138" t="s">
        <v>242</v>
      </c>
      <c r="K12" s="138">
        <v>2.5270000000000001</v>
      </c>
      <c r="L12" s="138">
        <v>2.1000000000000001E-2</v>
      </c>
      <c r="M12" s="138">
        <v>0.33</v>
      </c>
      <c r="N12" s="145">
        <f t="shared" si="0"/>
        <v>1554.1200000000001</v>
      </c>
      <c r="O12" s="145">
        <f t="shared" si="1"/>
        <v>1364.5800000000002</v>
      </c>
      <c r="P12" s="145">
        <f t="shared" si="2"/>
        <v>11.34</v>
      </c>
      <c r="Q12" s="145">
        <f t="shared" si="3"/>
        <v>178.20000000000002</v>
      </c>
      <c r="R12" s="145">
        <f t="shared" si="4"/>
        <v>160.75800000000001</v>
      </c>
    </row>
    <row r="13" spans="1:19">
      <c r="A13" s="138" t="s">
        <v>205</v>
      </c>
      <c r="C13">
        <v>150</v>
      </c>
      <c r="D13" s="138" t="s">
        <v>202</v>
      </c>
      <c r="E13" s="138" t="s">
        <v>200</v>
      </c>
      <c r="G13">
        <f t="shared" si="5"/>
        <v>150</v>
      </c>
      <c r="H13" t="str">
        <f t="shared" si="5"/>
        <v>kWh/kWp</v>
      </c>
      <c r="I13">
        <f>I12</f>
        <v>1071.72</v>
      </c>
      <c r="J13" s="138" t="s">
        <v>242</v>
      </c>
      <c r="K13" s="138">
        <v>2.5270000000000001</v>
      </c>
      <c r="L13" s="138">
        <v>2.1000000000000001E-2</v>
      </c>
      <c r="M13" s="138">
        <v>0.33</v>
      </c>
      <c r="N13" s="145">
        <f t="shared" si="0"/>
        <v>1554.1200000000001</v>
      </c>
      <c r="O13" s="145">
        <f t="shared" si="1"/>
        <v>1364.5800000000002</v>
      </c>
      <c r="P13" s="145">
        <f t="shared" si="2"/>
        <v>11.34</v>
      </c>
      <c r="Q13" s="145">
        <f t="shared" si="3"/>
        <v>178.20000000000002</v>
      </c>
      <c r="R13" s="145">
        <f t="shared" si="4"/>
        <v>160.75800000000001</v>
      </c>
    </row>
    <row r="14" spans="1:19">
      <c r="A14" s="138" t="s">
        <v>209</v>
      </c>
      <c r="C14">
        <v>737</v>
      </c>
      <c r="D14" s="138" t="s">
        <v>202</v>
      </c>
      <c r="E14" s="138" t="s">
        <v>210</v>
      </c>
      <c r="G14">
        <f t="shared" si="5"/>
        <v>737</v>
      </c>
      <c r="H14" t="str">
        <f t="shared" si="5"/>
        <v>kWh/kWp</v>
      </c>
      <c r="I14">
        <f>I13</f>
        <v>1071.72</v>
      </c>
      <c r="J14" s="138" t="s">
        <v>242</v>
      </c>
      <c r="K14" s="138">
        <v>2.5270000000000001</v>
      </c>
      <c r="L14" s="138">
        <v>2.1000000000000001E-2</v>
      </c>
      <c r="M14" s="138">
        <v>0.33</v>
      </c>
      <c r="N14" s="145">
        <f t="shared" si="0"/>
        <v>7635.9096000000009</v>
      </c>
      <c r="O14" s="145">
        <f t="shared" si="1"/>
        <v>6704.6364000000012</v>
      </c>
      <c r="P14" s="145">
        <f t="shared" si="2"/>
        <v>55.717200000000012</v>
      </c>
      <c r="Q14" s="145">
        <f t="shared" si="3"/>
        <v>875.55600000000015</v>
      </c>
      <c r="R14" s="145">
        <f t="shared" si="4"/>
        <v>789.85764000000006</v>
      </c>
    </row>
    <row r="15" spans="1:19">
      <c r="A15" s="138" t="s">
        <v>211</v>
      </c>
      <c r="C15">
        <f>C16*C17/1000*C18</f>
        <v>2.7</v>
      </c>
      <c r="D15" s="138" t="s">
        <v>216</v>
      </c>
      <c r="E15" s="138" t="s">
        <v>212</v>
      </c>
      <c r="G15">
        <f>C15*43/3.6</f>
        <v>32.25</v>
      </c>
      <c r="H15" s="138" t="s">
        <v>240</v>
      </c>
      <c r="I15">
        <f>102.4*3.6</f>
        <v>368.64000000000004</v>
      </c>
      <c r="J15" s="138" t="s">
        <v>242</v>
      </c>
      <c r="K15" s="138">
        <v>0.156</v>
      </c>
      <c r="L15" s="138">
        <v>2.7E-2</v>
      </c>
      <c r="M15" s="138">
        <v>1.119</v>
      </c>
      <c r="N15" s="145">
        <f t="shared" si="0"/>
        <v>151.16220000000001</v>
      </c>
      <c r="O15" s="145">
        <f t="shared" si="1"/>
        <v>18.111600000000003</v>
      </c>
      <c r="P15" s="145">
        <f t="shared" si="2"/>
        <v>3.1347</v>
      </c>
      <c r="Q15" s="145">
        <f t="shared" si="3"/>
        <v>129.91590000000002</v>
      </c>
      <c r="R15" s="145">
        <f>G15*I15/1000</f>
        <v>11.888640000000001</v>
      </c>
    </row>
    <row r="16" spans="1:19">
      <c r="C16" s="138">
        <v>450</v>
      </c>
      <c r="D16" s="138" t="s">
        <v>213</v>
      </c>
    </row>
    <row r="17" spans="1:25">
      <c r="C17">
        <v>0.06</v>
      </c>
      <c r="D17" s="138" t="s">
        <v>214</v>
      </c>
    </row>
    <row r="18" spans="1:25">
      <c r="C18">
        <v>100</v>
      </c>
      <c r="D18" s="138" t="s">
        <v>215</v>
      </c>
      <c r="N18" s="138" t="s">
        <v>326</v>
      </c>
      <c r="O18" s="138"/>
      <c r="P18" s="138"/>
      <c r="Q18" s="138"/>
    </row>
    <row r="19" spans="1:25">
      <c r="A19" s="138" t="s">
        <v>243</v>
      </c>
      <c r="G19" s="51">
        <f>SUM(G7:G15)</f>
        <v>4273.8796296296296</v>
      </c>
      <c r="H19" t="str">
        <f>H15</f>
        <v>kWh/kWp</v>
      </c>
      <c r="N19" s="51">
        <f>SUM(N7:N15)</f>
        <v>39901.890847619048</v>
      </c>
      <c r="O19" s="51">
        <f>SUM(O7:O15)</f>
        <v>34999.402761904763</v>
      </c>
      <c r="P19" s="51">
        <f>SUM(P7:P15)</f>
        <v>274.61142380952384</v>
      </c>
      <c r="Q19" s="51">
        <f>SUM(Q7:Q15)</f>
        <v>4627.8766619047619</v>
      </c>
      <c r="R19" s="51">
        <f>SUM(R7:R15)</f>
        <v>4082.5479466666666</v>
      </c>
    </row>
    <row r="20" spans="1:25">
      <c r="E20" s="138" t="s">
        <v>249</v>
      </c>
      <c r="F20" s="138" t="s">
        <v>250</v>
      </c>
    </row>
    <row r="21" spans="1:25">
      <c r="A21" s="138" t="s">
        <v>245</v>
      </c>
      <c r="C21" s="138" t="s">
        <v>246</v>
      </c>
      <c r="D21">
        <v>2453</v>
      </c>
      <c r="E21">
        <v>0.75</v>
      </c>
      <c r="F21">
        <v>0.8</v>
      </c>
      <c r="G21">
        <f>D21*E21</f>
        <v>1839.75</v>
      </c>
      <c r="I21">
        <f>297.7*3.6</f>
        <v>1071.72</v>
      </c>
      <c r="J21" s="138" t="s">
        <v>242</v>
      </c>
      <c r="K21" s="138"/>
      <c r="L21" s="138"/>
      <c r="M21" s="138" t="s">
        <v>256</v>
      </c>
      <c r="N21" s="138">
        <f>G21*3.6*30</f>
        <v>198693</v>
      </c>
      <c r="O21" s="138"/>
      <c r="P21" s="138"/>
      <c r="Q21" s="138"/>
      <c r="R21" s="145">
        <f>G21*I21/1000</f>
        <v>1971.6968700000002</v>
      </c>
    </row>
    <row r="22" spans="1:25">
      <c r="C22" s="138" t="s">
        <v>248</v>
      </c>
      <c r="D22">
        <v>1557</v>
      </c>
      <c r="E22">
        <v>0.75</v>
      </c>
      <c r="F22">
        <v>0.8</v>
      </c>
      <c r="G22">
        <f>D22*E22</f>
        <v>1167.75</v>
      </c>
      <c r="I22">
        <f>297.7*3.6</f>
        <v>1071.72</v>
      </c>
      <c r="J22" s="138" t="s">
        <v>242</v>
      </c>
      <c r="K22" s="138"/>
      <c r="L22" s="138"/>
      <c r="M22" s="138" t="s">
        <v>256</v>
      </c>
      <c r="N22" s="138">
        <f>G22*3.6*30</f>
        <v>126117.00000000001</v>
      </c>
      <c r="O22" s="138"/>
      <c r="P22" s="138"/>
      <c r="Q22" s="138"/>
      <c r="R22" s="145">
        <f>G22*I22/1000</f>
        <v>1251.5010300000001</v>
      </c>
    </row>
    <row r="23" spans="1:25">
      <c r="C23" s="138" t="s">
        <v>247</v>
      </c>
      <c r="D23">
        <v>843.1</v>
      </c>
      <c r="E23">
        <v>0.75</v>
      </c>
      <c r="F23">
        <v>0.8</v>
      </c>
      <c r="G23">
        <f>D23*E23</f>
        <v>632.32500000000005</v>
      </c>
      <c r="I23">
        <f>297.7*3.6</f>
        <v>1071.72</v>
      </c>
      <c r="J23" s="138" t="s">
        <v>242</v>
      </c>
      <c r="K23" s="138"/>
      <c r="L23" s="138"/>
      <c r="M23" s="138" t="s">
        <v>256</v>
      </c>
      <c r="N23" s="138">
        <f>G23*3.6*30</f>
        <v>68291.100000000006</v>
      </c>
      <c r="O23" s="138"/>
      <c r="P23" s="138"/>
      <c r="Q23" s="138"/>
      <c r="R23" s="145">
        <f>G23*I23/1000</f>
        <v>677.6753490000001</v>
      </c>
    </row>
    <row r="24" spans="1:25">
      <c r="U24" t="str">
        <f>O6</f>
        <v>coal</v>
      </c>
      <c r="V24" t="str">
        <f>P6</f>
        <v>NG</v>
      </c>
      <c r="W24" t="str">
        <f>Q6</f>
        <v>oil</v>
      </c>
      <c r="X24" s="138" t="s">
        <v>263</v>
      </c>
      <c r="Y24" s="138" t="s">
        <v>262</v>
      </c>
    </row>
    <row r="25" spans="1:25">
      <c r="A25" s="138" t="s">
        <v>251</v>
      </c>
      <c r="C25" s="138" t="s">
        <v>246</v>
      </c>
      <c r="F25" s="138" t="s">
        <v>258</v>
      </c>
      <c r="G25" s="150">
        <f>G19/G21</f>
        <v>2.3230763036443154</v>
      </c>
      <c r="M25" s="138" t="s">
        <v>259</v>
      </c>
      <c r="N25" s="150">
        <f>N19/N21*30/3.26</f>
        <v>1.8480536030390682</v>
      </c>
      <c r="O25" s="150"/>
      <c r="P25" s="150"/>
      <c r="Q25" s="150"/>
      <c r="R25" s="150">
        <f>R19/R21</f>
        <v>2.0705758622351853</v>
      </c>
      <c r="S25" s="138" t="s">
        <v>260</v>
      </c>
      <c r="U25" s="20">
        <f>O19/N21</f>
        <v>0.17614814191695108</v>
      </c>
      <c r="V25" s="20">
        <f>P19/N21</f>
        <v>1.382089071127437E-3</v>
      </c>
      <c r="W25" s="20">
        <f>Q19/N21</f>
        <v>2.3291593875500203E-2</v>
      </c>
      <c r="X25" s="150">
        <f>R19/R21/30*297.7</f>
        <v>20.547014472913819</v>
      </c>
      <c r="Y25" s="150">
        <f>R19/R21/30*273.3</f>
        <v>18.862946104962536</v>
      </c>
    </row>
    <row r="26" spans="1:25">
      <c r="C26" s="138" t="s">
        <v>248</v>
      </c>
      <c r="G26" s="150">
        <f>G19/G22</f>
        <v>3.6599268932816353</v>
      </c>
      <c r="N26" s="150">
        <f>N19/N22*30/3.26</f>
        <v>2.9115449507095916</v>
      </c>
      <c r="O26" s="150"/>
      <c r="P26" s="150"/>
      <c r="Q26" s="150"/>
      <c r="R26" s="150">
        <f>R19/R22</f>
        <v>3.2621211239967307</v>
      </c>
      <c r="U26" s="20">
        <f>O19/N22</f>
        <v>0.27751534497256325</v>
      </c>
      <c r="V26" s="20">
        <f>P19/N22</f>
        <v>2.1774338416670536E-3</v>
      </c>
      <c r="W26" s="20">
        <f>Q19/N22</f>
        <v>3.6695105829545271E-2</v>
      </c>
      <c r="X26" s="150">
        <f>R19/R22/30*297.7</f>
        <v>32.371115287127559</v>
      </c>
      <c r="Y26" s="150">
        <f>R21/R22/30*273.3</f>
        <v>14.352491971740529</v>
      </c>
    </row>
    <row r="27" spans="1:25" ht="15" thickBot="1">
      <c r="C27" s="138" t="s">
        <v>247</v>
      </c>
      <c r="G27" s="150">
        <f>G19/G23</f>
        <v>6.7589920209221983</v>
      </c>
      <c r="N27" s="150">
        <f>N19/N23*30/3.26</f>
        <v>5.3769131636280791</v>
      </c>
      <c r="O27" s="150"/>
      <c r="P27" s="150"/>
      <c r="Q27" s="150"/>
      <c r="R27" s="150">
        <f>R19/R23</f>
        <v>6.0243418219225591</v>
      </c>
      <c r="U27" s="20">
        <f>O19/N23</f>
        <v>0.51250313381838575</v>
      </c>
      <c r="V27" s="20">
        <f>P19/N23</f>
        <v>4.0211890540571733E-3</v>
      </c>
      <c r="W27" s="20">
        <f>Q19/N23</f>
        <v>6.7766907575141727E-2</v>
      </c>
      <c r="X27" s="150">
        <f>R19/R23/30*297.7</f>
        <v>59.781552012878194</v>
      </c>
      <c r="Y27" s="150">
        <f>R19/R23/30*273.3</f>
        <v>54.881753997714512</v>
      </c>
    </row>
    <row r="28" spans="1:25" ht="72">
      <c r="A28" s="146" t="s">
        <v>346</v>
      </c>
      <c r="B28" s="37"/>
      <c r="C28" s="37"/>
      <c r="D28" s="202" t="s">
        <v>257</v>
      </c>
      <c r="E28" s="38" t="str">
        <f>R6</f>
        <v>GHG(kg/kWp)</v>
      </c>
      <c r="I28" s="213" t="str">
        <f>A21</f>
        <v>annual hours</v>
      </c>
      <c r="J28" s="214" t="str">
        <f t="shared" ref="J28:K31" si="6">E20</f>
        <v>use rate for building</v>
      </c>
      <c r="K28" s="214" t="str">
        <f t="shared" si="6"/>
        <v>use rate for powerplant</v>
      </c>
      <c r="L28" s="215" t="s">
        <v>347</v>
      </c>
      <c r="N28" s="216" t="s">
        <v>349</v>
      </c>
      <c r="O28" s="215" t="s">
        <v>350</v>
      </c>
      <c r="P28" s="215" t="s">
        <v>348</v>
      </c>
    </row>
    <row r="29" spans="1:25">
      <c r="A29" s="147" t="s">
        <v>339</v>
      </c>
      <c r="B29" s="35"/>
      <c r="C29" s="35"/>
      <c r="D29" s="99">
        <f>N7</f>
        <v>1717.9897959183675</v>
      </c>
      <c r="E29" s="210">
        <f>R7</f>
        <v>177.70867346938778</v>
      </c>
      <c r="H29" s="39" t="str">
        <f t="shared" ref="H29:I31" si="7">C21</f>
        <v>best</v>
      </c>
      <c r="I29" s="35">
        <f t="shared" si="7"/>
        <v>2453</v>
      </c>
      <c r="J29" s="35">
        <f t="shared" si="6"/>
        <v>0.75</v>
      </c>
      <c r="K29" s="35">
        <f t="shared" si="6"/>
        <v>0.8</v>
      </c>
      <c r="L29" s="210">
        <f>N21</f>
        <v>198693</v>
      </c>
      <c r="N29" s="217">
        <f>G25</f>
        <v>2.3230763036443154</v>
      </c>
      <c r="O29" s="218">
        <f>N25</f>
        <v>1.8480536030390682</v>
      </c>
      <c r="P29" s="219">
        <f>R25</f>
        <v>2.0705758622351853</v>
      </c>
    </row>
    <row r="30" spans="1:25">
      <c r="A30" s="147" t="s">
        <v>340</v>
      </c>
      <c r="B30" s="35"/>
      <c r="C30" s="35"/>
      <c r="D30" s="99">
        <f>N8+N9</f>
        <v>18740.929251700683</v>
      </c>
      <c r="E30" s="210">
        <f>R8+R9</f>
        <v>1897.407993197279</v>
      </c>
      <c r="H30" s="39" t="str">
        <f t="shared" si="7"/>
        <v>average</v>
      </c>
      <c r="I30" s="35">
        <f t="shared" si="7"/>
        <v>1557</v>
      </c>
      <c r="J30" s="35">
        <f t="shared" si="6"/>
        <v>0.75</v>
      </c>
      <c r="K30" s="35">
        <f t="shared" si="6"/>
        <v>0.8</v>
      </c>
      <c r="L30" s="210">
        <f>N22</f>
        <v>126117.00000000001</v>
      </c>
      <c r="N30" s="217">
        <f>G26</f>
        <v>3.6599268932816353</v>
      </c>
      <c r="O30" s="218">
        <f>N26</f>
        <v>2.9115449507095916</v>
      </c>
      <c r="P30" s="219">
        <f>R26</f>
        <v>3.2621211239967307</v>
      </c>
    </row>
    <row r="31" spans="1:25" ht="15" thickBot="1">
      <c r="A31" s="147" t="s">
        <v>341</v>
      </c>
      <c r="B31" s="35"/>
      <c r="C31" s="35"/>
      <c r="D31" s="99">
        <f>N10+N11</f>
        <v>8547.66</v>
      </c>
      <c r="E31" s="210">
        <f>R10+R11</f>
        <v>884.1690000000001</v>
      </c>
      <c r="H31" s="41" t="str">
        <f t="shared" si="7"/>
        <v>worst</v>
      </c>
      <c r="I31" s="42">
        <f t="shared" si="7"/>
        <v>843.1</v>
      </c>
      <c r="J31" s="42">
        <f t="shared" si="6"/>
        <v>0.75</v>
      </c>
      <c r="K31" s="42">
        <f t="shared" si="6"/>
        <v>0.8</v>
      </c>
      <c r="L31" s="212">
        <f>N23</f>
        <v>68291.100000000006</v>
      </c>
      <c r="N31" s="220">
        <f>G27</f>
        <v>6.7589920209221983</v>
      </c>
      <c r="O31" s="221">
        <f>N27</f>
        <v>5.3769131636280791</v>
      </c>
      <c r="P31" s="222">
        <f>R27</f>
        <v>6.0243418219225591</v>
      </c>
    </row>
    <row r="32" spans="1:25">
      <c r="A32" s="147" t="s">
        <v>342</v>
      </c>
      <c r="B32" s="35"/>
      <c r="C32" s="35"/>
      <c r="D32" s="99">
        <f>N12</f>
        <v>1554.1200000000001</v>
      </c>
      <c r="E32" s="210">
        <f>R12</f>
        <v>160.75800000000001</v>
      </c>
    </row>
    <row r="33" spans="1:5">
      <c r="A33" s="147" t="s">
        <v>343</v>
      </c>
      <c r="B33" s="35"/>
      <c r="C33" s="35"/>
      <c r="D33" s="99">
        <f>N13</f>
        <v>1554.1200000000001</v>
      </c>
      <c r="E33" s="210">
        <f>R13</f>
        <v>160.75800000000001</v>
      </c>
    </row>
    <row r="34" spans="1:5">
      <c r="A34" s="147" t="s">
        <v>344</v>
      </c>
      <c r="B34" s="35"/>
      <c r="C34" s="35"/>
      <c r="D34" s="99">
        <f>N14</f>
        <v>7635.9096000000009</v>
      </c>
      <c r="E34" s="210">
        <f>R14</f>
        <v>789.85764000000006</v>
      </c>
    </row>
    <row r="35" spans="1:5" ht="15" thickBot="1">
      <c r="A35" s="149" t="s">
        <v>345</v>
      </c>
      <c r="B35" s="42"/>
      <c r="C35" s="42"/>
      <c r="D35" s="211">
        <f>N15</f>
        <v>151.16220000000001</v>
      </c>
      <c r="E35" s="212">
        <f>R15</f>
        <v>11.888640000000001</v>
      </c>
    </row>
  </sheetData>
  <phoneticPr fontId="25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J25" sqref="J25"/>
    </sheetView>
  </sheetViews>
  <sheetFormatPr defaultRowHeight="14.4"/>
  <cols>
    <col min="2" max="3" width="17.21875" customWidth="1"/>
    <col min="4" max="4" width="11.88671875" customWidth="1"/>
  </cols>
  <sheetData>
    <row r="1" spans="1:7" ht="15.6" thickTop="1" thickBot="1">
      <c r="A1" s="139" t="s">
        <v>217</v>
      </c>
      <c r="B1" s="139" t="s">
        <v>218</v>
      </c>
      <c r="C1" s="139" t="s">
        <v>218</v>
      </c>
      <c r="D1" s="139" t="s">
        <v>219</v>
      </c>
      <c r="E1" s="139" t="s">
        <v>220</v>
      </c>
    </row>
    <row r="2" spans="1:7">
      <c r="A2" s="140" t="s">
        <v>221</v>
      </c>
      <c r="B2" s="141" t="s">
        <v>222</v>
      </c>
      <c r="C2" s="141">
        <v>13</v>
      </c>
      <c r="D2" s="141">
        <v>198</v>
      </c>
      <c r="E2" s="142">
        <v>4.26</v>
      </c>
      <c r="F2">
        <f>D2/C2</f>
        <v>15.23076923076923</v>
      </c>
      <c r="G2">
        <f>F2/F3</f>
        <v>1.2976561644225817</v>
      </c>
    </row>
    <row r="3" spans="1:7">
      <c r="A3" s="140" t="s">
        <v>223</v>
      </c>
      <c r="B3" s="141" t="s">
        <v>224</v>
      </c>
      <c r="C3" s="141">
        <v>283</v>
      </c>
      <c r="D3" s="141">
        <v>3321.61</v>
      </c>
      <c r="E3" s="142">
        <v>71.510000000000005</v>
      </c>
      <c r="F3">
        <f>D3/C3</f>
        <v>11.73713780918728</v>
      </c>
    </row>
    <row r="4" spans="1:7">
      <c r="A4" s="140" t="s">
        <v>225</v>
      </c>
      <c r="B4" s="141" t="s">
        <v>226</v>
      </c>
      <c r="C4" s="141" t="s">
        <v>234</v>
      </c>
      <c r="D4" s="141">
        <v>625</v>
      </c>
      <c r="E4" s="142">
        <v>13.45</v>
      </c>
    </row>
    <row r="5" spans="1:7">
      <c r="A5" s="140" t="s">
        <v>227</v>
      </c>
      <c r="B5" s="141" t="s">
        <v>228</v>
      </c>
      <c r="C5" s="141" t="s">
        <v>228</v>
      </c>
      <c r="D5" s="141">
        <v>200</v>
      </c>
      <c r="E5" s="142">
        <v>4.32</v>
      </c>
    </row>
    <row r="6" spans="1:7">
      <c r="A6" s="140" t="s">
        <v>229</v>
      </c>
      <c r="B6" s="141" t="s">
        <v>230</v>
      </c>
      <c r="C6" s="141" t="s">
        <v>230</v>
      </c>
      <c r="D6" s="141">
        <v>150</v>
      </c>
      <c r="E6" s="142">
        <v>3.23</v>
      </c>
    </row>
    <row r="7" spans="1:7">
      <c r="A7" s="140" t="s">
        <v>231</v>
      </c>
      <c r="B7" s="141" t="s">
        <v>230</v>
      </c>
      <c r="C7" s="141" t="s">
        <v>230</v>
      </c>
      <c r="D7" s="141">
        <v>150</v>
      </c>
      <c r="E7" s="142">
        <v>3.23</v>
      </c>
    </row>
    <row r="8" spans="1:7" ht="15" thickBot="1">
      <c r="A8" s="143" t="s">
        <v>232</v>
      </c>
      <c r="B8" s="144" t="s">
        <v>233</v>
      </c>
      <c r="C8" s="144" t="s">
        <v>233</v>
      </c>
      <c r="D8" s="144">
        <v>4644.6099999999997</v>
      </c>
      <c r="E8" s="144"/>
    </row>
    <row r="9" spans="1:7" ht="15" thickTop="1"/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opLeftCell="A274" workbookViewId="0">
      <selection activeCell="A4" sqref="A4"/>
    </sheetView>
  </sheetViews>
  <sheetFormatPr defaultRowHeight="14.4"/>
  <cols>
    <col min="2" max="2" width="8.88671875" customWidth="1"/>
    <col min="5" max="5" width="20.44140625" bestFit="1" customWidth="1"/>
    <col min="6" max="6" width="9.44140625" bestFit="1" customWidth="1"/>
    <col min="7" max="7" width="11.6640625" bestFit="1" customWidth="1"/>
    <col min="8" max="8" width="10.44140625" customWidth="1"/>
    <col min="9" max="9" width="13.33203125" customWidth="1"/>
  </cols>
  <sheetData>
    <row r="1" spans="1:8">
      <c r="A1" s="492" t="s">
        <v>662</v>
      </c>
    </row>
    <row r="2" spans="1:8">
      <c r="A2" s="492" t="s">
        <v>663</v>
      </c>
    </row>
    <row r="3" spans="1:8">
      <c r="A3" s="492" t="s">
        <v>664</v>
      </c>
    </row>
    <row r="4" spans="1:8">
      <c r="A4" s="492" t="s">
        <v>1016</v>
      </c>
    </row>
    <row r="5" spans="1:8">
      <c r="A5" s="492" t="s">
        <v>1038</v>
      </c>
    </row>
    <row r="7" spans="1:8">
      <c r="A7" t="s">
        <v>662</v>
      </c>
    </row>
    <row r="8" spans="1:8">
      <c r="B8" t="str">
        <f>'NG-based'!J1</f>
        <v>NG as fuel</v>
      </c>
    </row>
    <row r="9" spans="1:8">
      <c r="B9" s="107"/>
      <c r="C9" s="108"/>
      <c r="D9" s="108"/>
      <c r="E9" s="108" t="str">
        <f>'NG-based'!J2</f>
        <v>NG开采处理阶段</v>
      </c>
      <c r="F9" s="108" t="str">
        <f>'NG-based'!K2</f>
        <v>NG运输阶段</v>
      </c>
      <c r="G9" s="108" t="str">
        <f>'NG-based'!L2</f>
        <v>使用阶段</v>
      </c>
      <c r="H9" s="467" t="s">
        <v>675</v>
      </c>
    </row>
    <row r="10" spans="1:8">
      <c r="B10" s="93" t="str">
        <f>'NG-based'!H13</f>
        <v>LCA-Coal</v>
      </c>
      <c r="C10" s="476" t="s">
        <v>678</v>
      </c>
      <c r="D10" s="35" t="str">
        <f>'NG-based'!I13</f>
        <v>KJ/MJ</v>
      </c>
      <c r="E10" s="380">
        <f>'NG-based'!J13</f>
        <v>4.9165821196554074</v>
      </c>
      <c r="F10" s="380">
        <f>'NG-based'!K13</f>
        <v>3.2947116843928073</v>
      </c>
      <c r="G10" s="380">
        <f>'NG-based'!L13</f>
        <v>0</v>
      </c>
      <c r="H10" s="477">
        <f>E10+F10+G10</f>
        <v>8.2112938040482142</v>
      </c>
    </row>
    <row r="11" spans="1:8">
      <c r="B11" s="93" t="str">
        <f>'NG-based'!H14</f>
        <v>LCA-NG</v>
      </c>
      <c r="C11" s="476" t="s">
        <v>679</v>
      </c>
      <c r="D11" s="35" t="str">
        <f>'NG-based'!I14</f>
        <v>KJ/MJ</v>
      </c>
      <c r="E11" s="380">
        <f>'NG-based'!J14</f>
        <v>114.43173126983139</v>
      </c>
      <c r="F11" s="380">
        <f>'NG-based'!K14</f>
        <v>11.358165075942514</v>
      </c>
      <c r="G11" s="380">
        <f>'NG-based'!L14</f>
        <v>1000</v>
      </c>
      <c r="H11" s="477">
        <f>E11+F11+G11</f>
        <v>1125.789896345774</v>
      </c>
    </row>
    <row r="12" spans="1:8">
      <c r="B12" s="93" t="str">
        <f>'NG-based'!H15</f>
        <v>LCA-Oil</v>
      </c>
      <c r="C12" s="476" t="s">
        <v>680</v>
      </c>
      <c r="D12" s="35" t="str">
        <f>'NG-based'!I15</f>
        <v>KJ/MJ</v>
      </c>
      <c r="E12" s="380">
        <f>'NG-based'!J15</f>
        <v>5.2581924503620225</v>
      </c>
      <c r="F12" s="380">
        <f>'NG-based'!K15</f>
        <v>0.59146237839919946</v>
      </c>
      <c r="G12" s="380">
        <f>'NG-based'!L15</f>
        <v>0</v>
      </c>
      <c r="H12" s="477">
        <f>E12+F12+G12</f>
        <v>5.8496548287612224</v>
      </c>
    </row>
    <row r="13" spans="1:8">
      <c r="B13" s="93" t="str">
        <f>'NG-based'!H16</f>
        <v>LCA-PE</v>
      </c>
      <c r="C13" s="476" t="s">
        <v>681</v>
      </c>
      <c r="D13" s="35" t="str">
        <f>'NG-based'!I16</f>
        <v>KJ/MJ</v>
      </c>
      <c r="E13" s="380">
        <f>'NG-based'!J16</f>
        <v>124.60650583984881</v>
      </c>
      <c r="F13" s="380">
        <f>'NG-based'!K16</f>
        <v>15.244339138734521</v>
      </c>
      <c r="G13" s="380">
        <f>'NG-based'!L16</f>
        <v>1000</v>
      </c>
      <c r="H13" s="477">
        <f>E13+F13+G13</f>
        <v>1139.8508449785834</v>
      </c>
    </row>
    <row r="14" spans="1:8">
      <c r="B14" s="93"/>
      <c r="C14" s="35"/>
      <c r="D14" s="35"/>
      <c r="E14" s="35"/>
      <c r="F14" s="35"/>
      <c r="G14" s="35"/>
      <c r="H14" s="84"/>
    </row>
    <row r="15" spans="1:8">
      <c r="B15" s="93" t="str">
        <f>'NG-based'!H18</f>
        <v>LCA-CO2</v>
      </c>
      <c r="C15" s="476" t="s">
        <v>682</v>
      </c>
      <c r="D15" s="35" t="str">
        <f>'NG-based'!I18</f>
        <v>mg/MJ</v>
      </c>
      <c r="E15" s="380">
        <f>'NG-based'!J18</f>
        <v>7293.9759327798283</v>
      </c>
      <c r="F15" s="380">
        <f>'NG-based'!K18</f>
        <v>958.25792612362227</v>
      </c>
      <c r="G15" s="380">
        <f>'NG-based'!L18</f>
        <v>56421.089999999989</v>
      </c>
      <c r="H15" s="477">
        <f>E15+F15+G15</f>
        <v>64673.323858903437</v>
      </c>
    </row>
    <row r="16" spans="1:8">
      <c r="B16" s="93" t="str">
        <f>'NG-based'!H19</f>
        <v>LCA-CH4</v>
      </c>
      <c r="C16" s="476" t="s">
        <v>683</v>
      </c>
      <c r="D16" s="35" t="str">
        <f>'NG-based'!I19</f>
        <v>mg/MJ</v>
      </c>
      <c r="E16" s="380">
        <f>'NG-based'!J19</f>
        <v>82.425169497414885</v>
      </c>
      <c r="F16" s="380">
        <f>'NG-based'!K19</f>
        <v>2.1781169934031439</v>
      </c>
      <c r="G16" s="380">
        <f>'NG-based'!L19</f>
        <v>0</v>
      </c>
      <c r="H16" s="477">
        <f>E16+F16+G16</f>
        <v>84.603286490818022</v>
      </c>
    </row>
    <row r="17" spans="2:10">
      <c r="B17" s="93" t="str">
        <f>'NG-based'!H20</f>
        <v>LCA-N2O</v>
      </c>
      <c r="C17" s="476" t="s">
        <v>684</v>
      </c>
      <c r="D17" s="35" t="str">
        <f>'NG-based'!I20</f>
        <v>0.001mg/MJ</v>
      </c>
      <c r="E17" s="380">
        <f>'NG-based'!J20</f>
        <v>1.5325798843518956E-4</v>
      </c>
      <c r="F17" s="380">
        <f>'NG-based'!K20</f>
        <v>1.8826877950371856E-5</v>
      </c>
      <c r="G17" s="380">
        <f>'NG-based'!L20</f>
        <v>0</v>
      </c>
      <c r="H17" s="477">
        <f>E17+F17+G17</f>
        <v>1.7208486638556141E-4</v>
      </c>
    </row>
    <row r="18" spans="2:10">
      <c r="B18" s="101" t="str">
        <f>'NG-based'!H21</f>
        <v>LCA-GHG</v>
      </c>
      <c r="C18" s="478" t="s">
        <v>685</v>
      </c>
      <c r="D18" s="102" t="str">
        <f>'NG-based'!I21</f>
        <v>g/MJ</v>
      </c>
      <c r="E18" s="479">
        <f>'NG-based'!J21</f>
        <v>9.35460521588608</v>
      </c>
      <c r="F18" s="479">
        <f>'NG-based'!K21</f>
        <v>1.0127108565691105</v>
      </c>
      <c r="G18" s="479">
        <f>'NG-based'!L21</f>
        <v>56.421089999999992</v>
      </c>
      <c r="H18" s="480">
        <f>E18+F18+G18</f>
        <v>66.788406072455189</v>
      </c>
    </row>
    <row r="21" spans="2:10">
      <c r="B21" t="str">
        <f>'NG-based'!O1</f>
        <v>CNG</v>
      </c>
    </row>
    <row r="22" spans="2:10">
      <c r="B22" s="107"/>
      <c r="C22" s="108"/>
      <c r="D22" s="108"/>
      <c r="E22" s="108" t="str">
        <f>'NG-based'!P2</f>
        <v>NG开采处理阶段</v>
      </c>
      <c r="F22" s="108" t="str">
        <f>'NG-based'!Q2</f>
        <v>NG运输阶段</v>
      </c>
      <c r="G22" s="108" t="str">
        <f>'NG-based'!R2</f>
        <v>NG压缩阶段</v>
      </c>
      <c r="H22" s="108" t="str">
        <f>'NG-based'!S2</f>
        <v>CNG运输</v>
      </c>
      <c r="I22" s="108" t="str">
        <f>'NG-based'!T2</f>
        <v>使用阶段</v>
      </c>
      <c r="J22" s="467" t="s">
        <v>675</v>
      </c>
    </row>
    <row r="23" spans="2:10">
      <c r="B23" s="93" t="str">
        <f>'NG-based'!N13</f>
        <v>LCA-Coal</v>
      </c>
      <c r="C23" s="476" t="s">
        <v>678</v>
      </c>
      <c r="D23" s="35" t="str">
        <f>'NG-based'!O13</f>
        <v>KJ/MJ</v>
      </c>
      <c r="E23" s="380">
        <f>'NG-based'!P13</f>
        <v>4.921503623278686</v>
      </c>
      <c r="F23" s="380">
        <f>'NG-based'!Q13</f>
        <v>0.65960193881737883</v>
      </c>
      <c r="G23" s="380">
        <f>'NG-based'!R13</f>
        <v>74.652641199614862</v>
      </c>
      <c r="H23" s="380">
        <f>'NG-based'!S13</f>
        <v>0</v>
      </c>
      <c r="I23" s="380">
        <f>'NG-based'!T13</f>
        <v>0</v>
      </c>
      <c r="J23" s="477">
        <f>SUM(E23:I23)</f>
        <v>80.233746761710933</v>
      </c>
    </row>
    <row r="24" spans="2:10">
      <c r="B24" s="93" t="str">
        <f>'NG-based'!N14</f>
        <v>LCA-NG</v>
      </c>
      <c r="C24" s="476" t="s">
        <v>679</v>
      </c>
      <c r="D24" s="35" t="str">
        <f>'NG-based'!O14</f>
        <v>KJ/MJ</v>
      </c>
      <c r="E24" s="380">
        <f>'NG-based'!P14</f>
        <v>114.54627754737876</v>
      </c>
      <c r="F24" s="380">
        <f>'NG-based'!Q14</f>
        <v>2.2739069221106143</v>
      </c>
      <c r="G24" s="380">
        <f>'NG-based'!R14</f>
        <v>6.8600684397250493</v>
      </c>
      <c r="H24" s="380">
        <f>'NG-based'!S14</f>
        <v>0</v>
      </c>
      <c r="I24" s="380">
        <f>'NG-based'!T14</f>
        <v>1000</v>
      </c>
      <c r="J24" s="477">
        <f>SUM(E24:I24)</f>
        <v>1123.6802529092145</v>
      </c>
    </row>
    <row r="25" spans="2:10">
      <c r="B25" s="93" t="str">
        <f>'NG-based'!N15</f>
        <v>LCA-Oil</v>
      </c>
      <c r="C25" s="476" t="s">
        <v>680</v>
      </c>
      <c r="D25" s="35" t="str">
        <f>'NG-based'!O15</f>
        <v>KJ/MJ</v>
      </c>
      <c r="E25" s="380">
        <f>'NG-based'!P15</f>
        <v>5.2634559062682911</v>
      </c>
      <c r="F25" s="380">
        <f>'NG-based'!Q15</f>
        <v>0.11841088656640632</v>
      </c>
      <c r="G25" s="380">
        <f>'NG-based'!R15</f>
        <v>2.1577888459274828</v>
      </c>
      <c r="H25" s="380">
        <f>'NG-based'!S15</f>
        <v>0</v>
      </c>
      <c r="I25" s="380">
        <f>'NG-based'!T15</f>
        <v>0</v>
      </c>
      <c r="J25" s="477">
        <f>SUM(E25:I25)</f>
        <v>7.5396556387621798</v>
      </c>
    </row>
    <row r="26" spans="2:10">
      <c r="B26" s="93" t="str">
        <f>'NG-based'!N16</f>
        <v>LCA-PE</v>
      </c>
      <c r="C26" s="476" t="s">
        <v>681</v>
      </c>
      <c r="D26" s="35" t="str">
        <f>'NG-based'!O16</f>
        <v>KJ/MJ</v>
      </c>
      <c r="E26" s="380">
        <f>'NG-based'!P16</f>
        <v>124.73123707692574</v>
      </c>
      <c r="F26" s="380">
        <f>'NG-based'!Q16</f>
        <v>3.0519197474943995</v>
      </c>
      <c r="G26" s="380">
        <f>'NG-based'!R16</f>
        <v>83.670498485267402</v>
      </c>
      <c r="H26" s="380">
        <f>'NG-based'!S16</f>
        <v>0</v>
      </c>
      <c r="I26" s="380">
        <f>'NG-based'!T16</f>
        <v>1000</v>
      </c>
      <c r="J26" s="477">
        <f>SUM(E26:I26)</f>
        <v>1211.4536553096875</v>
      </c>
    </row>
    <row r="27" spans="2:10">
      <c r="B27" s="93"/>
      <c r="C27" s="35"/>
      <c r="D27" s="35"/>
      <c r="E27" s="35"/>
      <c r="F27" s="35"/>
      <c r="G27" s="35"/>
      <c r="H27" s="35"/>
      <c r="I27" s="35"/>
      <c r="J27" s="84"/>
    </row>
    <row r="28" spans="2:10">
      <c r="B28" s="93" t="str">
        <f>'NG-based'!N18</f>
        <v>LCA-CO2</v>
      </c>
      <c r="C28" s="476" t="s">
        <v>682</v>
      </c>
      <c r="D28" s="35" t="str">
        <f>'NG-based'!O18</f>
        <v>mg/MJ</v>
      </c>
      <c r="E28" s="380">
        <f>'NG-based'!P18</f>
        <v>7301.2772099898184</v>
      </c>
      <c r="F28" s="380">
        <f>'NG-based'!Q18</f>
        <v>191.84342865337786</v>
      </c>
      <c r="G28" s="380">
        <f>'NG-based'!R18</f>
        <v>6644.0018659776442</v>
      </c>
      <c r="H28" s="380">
        <f>'NG-based'!S18</f>
        <v>0</v>
      </c>
      <c r="I28" s="380">
        <f>'NG-based'!T18</f>
        <v>56421.089999999989</v>
      </c>
      <c r="J28" s="477">
        <f>SUM(E28:I28)</f>
        <v>70558.212504620824</v>
      </c>
    </row>
    <row r="29" spans="2:10">
      <c r="B29" s="93" t="str">
        <f>'NG-based'!N19</f>
        <v>LCA-CH4</v>
      </c>
      <c r="C29" s="476" t="s">
        <v>683</v>
      </c>
      <c r="D29" s="35" t="str">
        <f>'NG-based'!O19</f>
        <v>mg/MJ</v>
      </c>
      <c r="E29" s="380">
        <f>'NG-based'!P19</f>
        <v>82.435605102517414</v>
      </c>
      <c r="F29" s="380">
        <f>'NG-based'!Q19</f>
        <v>0.43605945813876762</v>
      </c>
      <c r="G29" s="380">
        <f>'NG-based'!R19</f>
        <v>30.915541375192383</v>
      </c>
      <c r="H29" s="380">
        <f>'NG-based'!S19</f>
        <v>0</v>
      </c>
      <c r="I29" s="380">
        <f>'NG-based'!T19</f>
        <v>0</v>
      </c>
      <c r="J29" s="477">
        <f>SUM(E29:I29)</f>
        <v>113.78720593584856</v>
      </c>
    </row>
    <row r="30" spans="2:10">
      <c r="B30" s="93" t="str">
        <f>'NG-based'!N20</f>
        <v>LCA-N2O</v>
      </c>
      <c r="C30" s="476" t="s">
        <v>684</v>
      </c>
      <c r="D30" s="35" t="str">
        <f>'NG-based'!O20</f>
        <v>0.001mg/MJ</v>
      </c>
      <c r="E30" s="380">
        <f>'NG-based'!P20</f>
        <v>1.534113998350246E-4</v>
      </c>
      <c r="F30" s="380">
        <f>'NG-based'!Q20</f>
        <v>3.7691447348091811E-6</v>
      </c>
      <c r="G30" s="380">
        <f>'NG-based'!R20</f>
        <v>1.0495779846251692E-4</v>
      </c>
      <c r="H30" s="380">
        <f>'NG-based'!S20</f>
        <v>0</v>
      </c>
      <c r="I30" s="380">
        <f>'NG-based'!T20</f>
        <v>0</v>
      </c>
      <c r="J30" s="477">
        <f>SUM(E30:I30)</f>
        <v>2.6213834303235071E-4</v>
      </c>
    </row>
    <row r="31" spans="2:10">
      <c r="B31" s="101" t="str">
        <f>'NG-based'!N21</f>
        <v>LCA-GHG</v>
      </c>
      <c r="C31" s="478" t="s">
        <v>685</v>
      </c>
      <c r="D31" s="102" t="str">
        <f>'NG-based'!O21</f>
        <v>g/MJ</v>
      </c>
      <c r="E31" s="479">
        <f>'NG-based'!P21</f>
        <v>9.3621673832693499</v>
      </c>
      <c r="F31" s="479">
        <f>'NG-based'!Q21</f>
        <v>0.2027449162300522</v>
      </c>
      <c r="G31" s="479">
        <f>'NG-based'!R21</f>
        <v>7.4168904316348767</v>
      </c>
      <c r="H31" s="479">
        <f>'NG-based'!S21</f>
        <v>0</v>
      </c>
      <c r="I31" s="479">
        <f>'NG-based'!T21</f>
        <v>56.421089999999992</v>
      </c>
      <c r="J31" s="480">
        <f>SUM(E31:I31)</f>
        <v>73.402892731134273</v>
      </c>
    </row>
    <row r="34" spans="2:10">
      <c r="B34" t="str">
        <f>'NG-based'!W1</f>
        <v>LNG1</v>
      </c>
      <c r="C34" t="s">
        <v>689</v>
      </c>
    </row>
    <row r="35" spans="2:10">
      <c r="B35" s="107"/>
      <c r="C35" s="108"/>
      <c r="D35" s="108"/>
      <c r="E35" s="108" t="str">
        <f>'NG-based'!Y2</f>
        <v>NG开采处理阶段</v>
      </c>
      <c r="F35" s="108" t="str">
        <f>'NG-based'!Z2</f>
        <v>NG液化阶段</v>
      </c>
      <c r="G35" s="108" t="str">
        <f>'NG-based'!AB2</f>
        <v>LNG运输阶段</v>
      </c>
      <c r="H35" s="108" t="str">
        <f>'NG-based'!AC2</f>
        <v>LNG输配阶段</v>
      </c>
      <c r="I35" s="108" t="str">
        <f>'NG-based'!AD2</f>
        <v>使用阶段</v>
      </c>
      <c r="J35" s="467" t="s">
        <v>675</v>
      </c>
    </row>
    <row r="36" spans="2:10">
      <c r="B36" s="93" t="str">
        <f>'NG-based'!W13</f>
        <v>LCA-Coal</v>
      </c>
      <c r="C36" s="476" t="s">
        <v>678</v>
      </c>
      <c r="D36" s="35" t="str">
        <f>'NG-based'!X13</f>
        <v>KJ/MJ</v>
      </c>
      <c r="E36" s="380">
        <f>'NG-based'!Y13</f>
        <v>4.9165821196554074</v>
      </c>
      <c r="F36" s="380">
        <f>'NG-based'!Z13</f>
        <v>10.07113291087402</v>
      </c>
      <c r="G36" s="380">
        <f>'NG-based'!AB13</f>
        <v>1.2066904095051141</v>
      </c>
      <c r="H36" s="380">
        <f>'NG-based'!AC13</f>
        <v>0.37885787892179007</v>
      </c>
      <c r="I36" s="380">
        <f>'NG-based'!AD13</f>
        <v>0</v>
      </c>
      <c r="J36" s="477">
        <f>SUM(E36:I36)</f>
        <v>16.573263318956329</v>
      </c>
    </row>
    <row r="37" spans="2:10">
      <c r="B37" s="93" t="str">
        <f>'NG-based'!W14</f>
        <v>LCA-NG</v>
      </c>
      <c r="C37" s="476" t="s">
        <v>679</v>
      </c>
      <c r="D37" s="35" t="str">
        <f>'NG-based'!X14</f>
        <v>KJ/MJ</v>
      </c>
      <c r="E37" s="380">
        <f>'NG-based'!Y14</f>
        <v>114.43173126983139</v>
      </c>
      <c r="F37" s="380">
        <f>'NG-based'!Z14</f>
        <v>113.05936327827526</v>
      </c>
      <c r="G37" s="380">
        <f>'NG-based'!AB14</f>
        <v>0.94066930032412432</v>
      </c>
      <c r="H37" s="380">
        <f>'NG-based'!AC14</f>
        <v>0.25984793010238222</v>
      </c>
      <c r="I37" s="380">
        <f>'NG-based'!AD14</f>
        <v>1000</v>
      </c>
      <c r="J37" s="477">
        <f>SUM(E37:I37)</f>
        <v>1228.6916117785331</v>
      </c>
    </row>
    <row r="38" spans="2:10">
      <c r="B38" s="93" t="str">
        <f>'NG-based'!W15</f>
        <v>LCA-Oil</v>
      </c>
      <c r="C38" s="476" t="s">
        <v>680</v>
      </c>
      <c r="D38" s="35" t="str">
        <f>'NG-based'!X15</f>
        <v>KJ/MJ</v>
      </c>
      <c r="E38" s="380">
        <f>'NG-based'!Y15</f>
        <v>5.2581924503620225</v>
      </c>
      <c r="F38" s="380">
        <f>'NG-based'!Z15</f>
        <v>5.3243207568962232</v>
      </c>
      <c r="G38" s="380">
        <f>'NG-based'!AB15</f>
        <v>23.239733999963143</v>
      </c>
      <c r="H38" s="380">
        <f>'NG-based'!AC15</f>
        <v>6.0127285935776111</v>
      </c>
      <c r="I38" s="380">
        <f>'NG-based'!AD15</f>
        <v>0</v>
      </c>
      <c r="J38" s="477">
        <f>SUM(E38:I38)</f>
        <v>39.834975800799</v>
      </c>
    </row>
    <row r="39" spans="2:10">
      <c r="B39" s="93" t="str">
        <f>'NG-based'!W16</f>
        <v>LCA-PE</v>
      </c>
      <c r="C39" s="476" t="s">
        <v>681</v>
      </c>
      <c r="D39" s="35" t="str">
        <f>'NG-based'!X16</f>
        <v>KJ/MJ</v>
      </c>
      <c r="E39" s="380">
        <f>'NG-based'!Y16</f>
        <v>124.60650583984881</v>
      </c>
      <c r="F39" s="380">
        <f>'NG-based'!Z16</f>
        <v>128.4548169460455</v>
      </c>
      <c r="G39" s="380">
        <f>'NG-based'!AB16</f>
        <v>25.387093709792381</v>
      </c>
      <c r="H39" s="380">
        <f>'NG-based'!AC16</f>
        <v>6.6514344026017831</v>
      </c>
      <c r="I39" s="380">
        <f>'NG-based'!AD16</f>
        <v>1000</v>
      </c>
      <c r="J39" s="477">
        <f>SUM(E39:I39)</f>
        <v>1285.0998508982884</v>
      </c>
    </row>
    <row r="40" spans="2:10">
      <c r="B40" s="93"/>
      <c r="C40" s="35"/>
      <c r="D40" s="35"/>
      <c r="E40" s="35"/>
      <c r="F40" s="35"/>
      <c r="G40" s="35"/>
      <c r="H40" s="35"/>
      <c r="I40" s="35"/>
      <c r="J40" s="84"/>
    </row>
    <row r="41" spans="2:10">
      <c r="B41" s="93" t="str">
        <f>'NG-based'!W18</f>
        <v>LCA-CO2</v>
      </c>
      <c r="C41" s="476" t="s">
        <v>682</v>
      </c>
      <c r="D41" s="35" t="str">
        <f>'NG-based'!X18</f>
        <v>mg/MJ</v>
      </c>
      <c r="E41" s="380">
        <f>'NG-based'!Y18</f>
        <v>7293.9759327798283</v>
      </c>
      <c r="F41" s="380">
        <f>'NG-based'!Z18</f>
        <v>7641.6778356213763</v>
      </c>
      <c r="G41" s="380">
        <f>'NG-based'!AB18</f>
        <v>1905.6531263783158</v>
      </c>
      <c r="H41" s="380">
        <f>'NG-based'!AC18</f>
        <v>481.64016776563949</v>
      </c>
      <c r="I41" s="380">
        <f>'NG-based'!AD18</f>
        <v>56421.089999999989</v>
      </c>
      <c r="J41" s="477">
        <f>SUM(E41:I41)</f>
        <v>73744.037062545147</v>
      </c>
    </row>
    <row r="42" spans="2:10">
      <c r="B42" s="93" t="str">
        <f>'NG-based'!W19</f>
        <v>LCA-CH4</v>
      </c>
      <c r="C42" s="476" t="s">
        <v>683</v>
      </c>
      <c r="D42" s="35" t="str">
        <f>'NG-based'!X19</f>
        <v>mg/MJ</v>
      </c>
      <c r="E42" s="380">
        <f>'NG-based'!Y19</f>
        <v>82.425169497414885</v>
      </c>
      <c r="F42" s="380">
        <f>'NG-based'!Z19</f>
        <v>12.423928031552515</v>
      </c>
      <c r="G42" s="380">
        <f>'NG-based'!AB19</f>
        <v>0.81787748828790086</v>
      </c>
      <c r="H42" s="380">
        <f>'NG-based'!AC19</f>
        <v>0</v>
      </c>
      <c r="I42" s="380">
        <f>'NG-based'!AD19</f>
        <v>0</v>
      </c>
      <c r="J42" s="477">
        <f>SUM(E42:I42)</f>
        <v>95.666975017255311</v>
      </c>
    </row>
    <row r="43" spans="2:10">
      <c r="B43" s="93" t="str">
        <f>'NG-based'!W20</f>
        <v>LCA-N2O</v>
      </c>
      <c r="C43" s="476" t="s">
        <v>684</v>
      </c>
      <c r="D43" s="35" t="str">
        <f>'NG-based'!X20</f>
        <v>0.001mg/MJ</v>
      </c>
      <c r="E43" s="380">
        <f>'NG-based'!Y20</f>
        <v>1.5325798843518956E-4</v>
      </c>
      <c r="F43" s="380">
        <f>'NG-based'!Z20</f>
        <v>1.5813478936734261E-4</v>
      </c>
      <c r="G43" s="380">
        <f>'NG-based'!AB20</f>
        <v>0</v>
      </c>
      <c r="H43" s="380">
        <f>'NG-based'!AC20</f>
        <v>0</v>
      </c>
      <c r="I43" s="380">
        <f>'NG-based'!AD20</f>
        <v>0</v>
      </c>
      <c r="J43" s="477">
        <f>SUM(E43:I43)</f>
        <v>3.113927778025322E-4</v>
      </c>
    </row>
    <row r="44" spans="2:10">
      <c r="B44" s="101" t="str">
        <f>'NG-based'!W21</f>
        <v>LCA-GHG</v>
      </c>
      <c r="C44" s="478" t="s">
        <v>685</v>
      </c>
      <c r="D44" s="102" t="str">
        <f>'NG-based'!X21</f>
        <v>g/MJ</v>
      </c>
      <c r="E44" s="479">
        <f>'NG-based'!Y21</f>
        <v>9.35460521588608</v>
      </c>
      <c r="F44" s="479">
        <f>'NG-based'!Z21</f>
        <v>7.9522760835343567</v>
      </c>
      <c r="G44" s="479">
        <f>'NG-based'!AB21</f>
        <v>1.9261000635855134</v>
      </c>
      <c r="H44" s="479">
        <f>'NG-based'!AC21</f>
        <v>0.4816401677656395</v>
      </c>
      <c r="I44" s="479">
        <f>'NG-based'!AD21</f>
        <v>56.421089999999992</v>
      </c>
      <c r="J44" s="480">
        <f>SUM(E44:I44)</f>
        <v>76.135711530771573</v>
      </c>
    </row>
    <row r="47" spans="2:10">
      <c r="B47" t="str">
        <f>'NG-based'!AF1</f>
        <v>LNG2</v>
      </c>
      <c r="C47" t="s">
        <v>687</v>
      </c>
    </row>
    <row r="48" spans="2:10">
      <c r="B48" s="107"/>
      <c r="C48" s="108"/>
      <c r="D48" s="108"/>
      <c r="E48" s="108" t="str">
        <f>'NG-based'!AH2</f>
        <v>NG开采处理阶段</v>
      </c>
      <c r="G48" s="108" t="str">
        <f>'NG-based'!AI2</f>
        <v>NG液化阶段</v>
      </c>
      <c r="H48" s="108" t="str">
        <f>'NG-based'!AK2</f>
        <v>LNG输配阶段</v>
      </c>
      <c r="I48" s="108" t="str">
        <f>'NG-based'!AL2</f>
        <v>使用阶段</v>
      </c>
      <c r="J48" s="467" t="s">
        <v>676</v>
      </c>
    </row>
    <row r="49" spans="2:10">
      <c r="B49" s="93" t="str">
        <f>'NG-based'!AF13</f>
        <v>LCA-Coal</v>
      </c>
      <c r="C49" s="476" t="s">
        <v>678</v>
      </c>
      <c r="D49" s="35" t="str">
        <f>'NG-based'!AG13</f>
        <v>KJ/MJ</v>
      </c>
      <c r="E49" s="380">
        <f>'NG-based'!AH13</f>
        <v>4.9165821196554074</v>
      </c>
      <c r="G49" s="380">
        <f>'NG-based'!AI13</f>
        <v>121.75277750110493</v>
      </c>
      <c r="H49" s="380">
        <f>'NG-based'!AK13</f>
        <v>0.37885787892179007</v>
      </c>
      <c r="I49" s="380">
        <f>'NG-based'!AL13</f>
        <v>0</v>
      </c>
      <c r="J49" s="477">
        <f>SUM(E49:I49)</f>
        <v>127.04821749968212</v>
      </c>
    </row>
    <row r="50" spans="2:10">
      <c r="B50" s="93" t="str">
        <f>'NG-based'!AF14</f>
        <v>LCA-NG</v>
      </c>
      <c r="C50" s="476" t="s">
        <v>679</v>
      </c>
      <c r="D50" s="35" t="str">
        <f>'NG-based'!AG14</f>
        <v>KJ/MJ</v>
      </c>
      <c r="E50" s="380">
        <f>'NG-based'!AH14</f>
        <v>114.43173126983139</v>
      </c>
      <c r="G50" s="380">
        <f>'NG-based'!AI14</f>
        <v>9.4667352031301846</v>
      </c>
      <c r="H50" s="380">
        <f>'NG-based'!AK14</f>
        <v>0.25984793010238222</v>
      </c>
      <c r="I50" s="380">
        <f>'NG-based'!AL14</f>
        <v>1000</v>
      </c>
      <c r="J50" s="477">
        <f>SUM(E50:I50)</f>
        <v>1124.158314403064</v>
      </c>
    </row>
    <row r="51" spans="2:10">
      <c r="B51" s="93" t="str">
        <f>'NG-based'!AF15</f>
        <v>LCA-Oil</v>
      </c>
      <c r="C51" s="476" t="s">
        <v>680</v>
      </c>
      <c r="D51" s="35" t="str">
        <f>'NG-based'!AG15</f>
        <v>KJ/MJ</v>
      </c>
      <c r="E51" s="380">
        <f>'NG-based'!AH15</f>
        <v>5.2581924503620225</v>
      </c>
      <c r="G51" s="380">
        <f>'NG-based'!AI15</f>
        <v>3.4419178500793062</v>
      </c>
      <c r="H51" s="380">
        <f>'NG-based'!AK15</f>
        <v>6.0127285935776111</v>
      </c>
      <c r="I51" s="380">
        <f>'NG-based'!AL15</f>
        <v>0</v>
      </c>
      <c r="J51" s="477">
        <f>SUM(E51:I51)</f>
        <v>14.71283889401894</v>
      </c>
    </row>
    <row r="52" spans="2:10">
      <c r="B52" s="93" t="str">
        <f>'NG-based'!AF16</f>
        <v>LCA-PE</v>
      </c>
      <c r="C52" s="476" t="s">
        <v>681</v>
      </c>
      <c r="D52" s="35" t="str">
        <f>'NG-based'!AG16</f>
        <v>KJ/MJ</v>
      </c>
      <c r="E52" s="380">
        <f>'NG-based'!AH16</f>
        <v>124.60650583984881</v>
      </c>
      <c r="G52" s="380">
        <f>'NG-based'!AI16</f>
        <v>134.66143055431442</v>
      </c>
      <c r="H52" s="380">
        <f>'NG-based'!AK16</f>
        <v>6.6514344026017831</v>
      </c>
      <c r="I52" s="380">
        <f>'NG-based'!AL16</f>
        <v>1000</v>
      </c>
      <c r="J52" s="477">
        <f>SUM(E52:I52)</f>
        <v>1265.9193707967652</v>
      </c>
    </row>
    <row r="53" spans="2:10">
      <c r="B53" s="93"/>
      <c r="C53" s="35"/>
      <c r="D53" s="35"/>
      <c r="E53" s="380"/>
      <c r="G53" s="380"/>
      <c r="H53" s="380"/>
      <c r="I53" s="380"/>
      <c r="J53" s="84"/>
    </row>
    <row r="54" spans="2:10">
      <c r="B54" s="93" t="str">
        <f>'NG-based'!AF18</f>
        <v>LCA-CO2</v>
      </c>
      <c r="C54" s="476" t="s">
        <v>682</v>
      </c>
      <c r="D54" s="35" t="str">
        <f>'NG-based'!AG18</f>
        <v>mg/MJ</v>
      </c>
      <c r="E54" s="380">
        <f>'NG-based'!AH18</f>
        <v>7293.9759327798283</v>
      </c>
      <c r="G54" s="380">
        <f>'NG-based'!AI18</f>
        <v>10732.304665235995</v>
      </c>
      <c r="H54" s="380">
        <f>'NG-based'!AK18</f>
        <v>481.64016776563949</v>
      </c>
      <c r="I54" s="380">
        <f>'NG-based'!AL18</f>
        <v>57123</v>
      </c>
      <c r="J54" s="477">
        <f>SUM(E54:I54)</f>
        <v>75630.920765781455</v>
      </c>
    </row>
    <row r="55" spans="2:10">
      <c r="B55" s="93" t="str">
        <f>'NG-based'!AF19</f>
        <v>LCA-CH4</v>
      </c>
      <c r="C55" s="476" t="s">
        <v>683</v>
      </c>
      <c r="D55" s="35" t="str">
        <f>'NG-based'!AG19</f>
        <v>mg/MJ</v>
      </c>
      <c r="E55" s="380">
        <f>'NG-based'!AH19</f>
        <v>82.425169497414885</v>
      </c>
      <c r="G55" s="380">
        <f>'NG-based'!AI19</f>
        <v>50.294189660191208</v>
      </c>
      <c r="H55" s="380">
        <f>'NG-based'!AK19</f>
        <v>0</v>
      </c>
      <c r="I55" s="380">
        <f>'NG-based'!AL19</f>
        <v>0</v>
      </c>
      <c r="J55" s="477">
        <f>SUM(E55:I55)</f>
        <v>132.71935915760611</v>
      </c>
    </row>
    <row r="56" spans="2:10">
      <c r="B56" s="93" t="str">
        <f>'NG-based'!AF20</f>
        <v>LCA-N2O</v>
      </c>
      <c r="C56" s="476" t="s">
        <v>684</v>
      </c>
      <c r="D56" s="35" t="str">
        <f>'NG-based'!AG20</f>
        <v>0.001mg/MJ</v>
      </c>
      <c r="E56" s="380">
        <f>'NG-based'!AH20</f>
        <v>1.5325798843518956E-4</v>
      </c>
      <c r="G56" s="380">
        <f>'NG-based'!AI20</f>
        <v>1.6896782962289418E-4</v>
      </c>
      <c r="H56" s="380">
        <f>'NG-based'!AK20</f>
        <v>0</v>
      </c>
      <c r="I56" s="380">
        <f>'NG-based'!AL20</f>
        <v>0</v>
      </c>
      <c r="J56" s="477">
        <f>SUM(E56:I56)</f>
        <v>3.2222581805808372E-4</v>
      </c>
    </row>
    <row r="57" spans="2:10">
      <c r="B57" s="101" t="str">
        <f>'NG-based'!AF21</f>
        <v>LCA-GHG</v>
      </c>
      <c r="C57" s="478" t="s">
        <v>685</v>
      </c>
      <c r="D57" s="102" t="str">
        <f>'NG-based'!AG21</f>
        <v>g/MJ</v>
      </c>
      <c r="E57" s="479">
        <f>'NG-based'!AH21</f>
        <v>9.35460521588608</v>
      </c>
      <c r="G57" s="479">
        <f>'NG-based'!AI21</f>
        <v>11.989659457093188</v>
      </c>
      <c r="H57" s="479">
        <f>'NG-based'!AK21</f>
        <v>0.4816401677656395</v>
      </c>
      <c r="I57" s="479">
        <f>'NG-based'!AL21</f>
        <v>57.122999999999998</v>
      </c>
      <c r="J57" s="480">
        <f>SUM(E57:I57)</f>
        <v>78.948904840744902</v>
      </c>
    </row>
    <row r="60" spans="2:10">
      <c r="B60" t="str">
        <f>'NG-based'!AO1</f>
        <v>LNG3</v>
      </c>
      <c r="C60" t="s">
        <v>688</v>
      </c>
    </row>
    <row r="61" spans="2:10">
      <c r="B61" s="107"/>
      <c r="C61" s="108"/>
      <c r="D61" s="108"/>
      <c r="E61" s="108" t="str">
        <f>'NG-based'!AQ2</f>
        <v>NG开采处理阶段</v>
      </c>
      <c r="F61" s="108" t="str">
        <f>'NG-based'!AR2</f>
        <v>NG输配阶段</v>
      </c>
      <c r="G61" s="108" t="str">
        <f>'NG-based'!AS2</f>
        <v>NG液化阶段</v>
      </c>
      <c r="H61" s="108" t="str">
        <f>'NG-based'!AU2</f>
        <v>LNG输配阶段</v>
      </c>
      <c r="I61" s="108" t="str">
        <f>'NG-based'!AV2</f>
        <v>使用阶段</v>
      </c>
      <c r="J61" s="467" t="s">
        <v>675</v>
      </c>
    </row>
    <row r="62" spans="2:10">
      <c r="B62" s="93" t="str">
        <f>'NG-based'!AO13</f>
        <v>LCA-Coal</v>
      </c>
      <c r="C62" s="476" t="s">
        <v>678</v>
      </c>
      <c r="D62" s="35" t="str">
        <f>'NG-based'!AP13</f>
        <v>KJ/MJ</v>
      </c>
      <c r="E62" s="380">
        <f>'NG-based'!AQ13</f>
        <v>4.9165821196554074</v>
      </c>
      <c r="F62" s="380">
        <f>'NG-based'!AR13</f>
        <v>3.2947116843928073</v>
      </c>
      <c r="G62" s="380">
        <f>'NG-based'!AS13</f>
        <v>121.64327660224279</v>
      </c>
      <c r="H62" s="380">
        <f>'NG-based'!AU13</f>
        <v>0.37885787892179007</v>
      </c>
      <c r="I62" s="380">
        <f>'NG-based'!AV13</f>
        <v>0</v>
      </c>
      <c r="J62" s="477">
        <f>SUM(E62:I62)</f>
        <v>130.2334282852128</v>
      </c>
    </row>
    <row r="63" spans="2:10">
      <c r="B63" s="93" t="str">
        <f>'NG-based'!AO14</f>
        <v>LCA-NG</v>
      </c>
      <c r="C63" s="476" t="s">
        <v>679</v>
      </c>
      <c r="D63" s="35" t="str">
        <f>'NG-based'!AP14</f>
        <v>KJ/MJ</v>
      </c>
      <c r="E63" s="380">
        <f>'NG-based'!AQ14</f>
        <v>114.43173126983139</v>
      </c>
      <c r="F63" s="380">
        <f>'NG-based'!AR14</f>
        <v>11.358165075942514</v>
      </c>
      <c r="G63" s="380">
        <f>'NG-based'!AS14</f>
        <v>9.4582210974538423</v>
      </c>
      <c r="H63" s="380">
        <f>'NG-based'!AU14</f>
        <v>0.25984793010238222</v>
      </c>
      <c r="I63" s="380">
        <f>'NG-based'!AV14</f>
        <v>1000</v>
      </c>
      <c r="J63" s="477">
        <f>SUM(E63:I63)</f>
        <v>1135.5079653733301</v>
      </c>
    </row>
    <row r="64" spans="2:10">
      <c r="B64" s="93" t="str">
        <f>'NG-based'!AO15</f>
        <v>LCA-Oil</v>
      </c>
      <c r="C64" s="476" t="s">
        <v>680</v>
      </c>
      <c r="D64" s="35" t="str">
        <f>'NG-based'!AP15</f>
        <v>KJ/MJ</v>
      </c>
      <c r="E64" s="380">
        <f>'NG-based'!AQ15</f>
        <v>5.2581924503620225</v>
      </c>
      <c r="F64" s="380">
        <f>'NG-based'!AR15</f>
        <v>0.59146237839919946</v>
      </c>
      <c r="G64" s="380">
        <f>'NG-based'!AS15</f>
        <v>3.4388222895004943</v>
      </c>
      <c r="H64" s="380">
        <f>'NG-based'!AU15</f>
        <v>6.0127285935776111</v>
      </c>
      <c r="I64" s="380">
        <f>'NG-based'!AV15</f>
        <v>0</v>
      </c>
      <c r="J64" s="477">
        <f>SUM(E64:I64)</f>
        <v>15.301205711839328</v>
      </c>
    </row>
    <row r="65" spans="2:10">
      <c r="B65" s="93" t="str">
        <f>'NG-based'!AO16</f>
        <v>LCA-PE</v>
      </c>
      <c r="C65" s="476" t="s">
        <v>681</v>
      </c>
      <c r="D65" s="35" t="str">
        <f>'NG-based'!AP16</f>
        <v>KJ/MJ</v>
      </c>
      <c r="E65" s="380">
        <f>'NG-based'!AQ16</f>
        <v>124.60650583984881</v>
      </c>
      <c r="F65" s="380">
        <f>'NG-based'!AR16</f>
        <v>15.244339138734521</v>
      </c>
      <c r="G65" s="380">
        <f>'NG-based'!AS16</f>
        <v>134.54031998919714</v>
      </c>
      <c r="H65" s="380">
        <f>'NG-based'!AU16</f>
        <v>6.6514344026017831</v>
      </c>
      <c r="I65" s="380">
        <f>'NG-based'!AV16</f>
        <v>1000</v>
      </c>
      <c r="J65" s="477">
        <f>SUM(E65:I65)</f>
        <v>1281.0425993703823</v>
      </c>
    </row>
    <row r="66" spans="2:10">
      <c r="B66" s="93"/>
      <c r="C66" s="35"/>
      <c r="D66" s="35"/>
      <c r="E66" s="380"/>
      <c r="F66" s="380"/>
      <c r="G66" s="380"/>
      <c r="H66" s="380"/>
      <c r="I66" s="380"/>
      <c r="J66" s="84"/>
    </row>
    <row r="67" spans="2:10">
      <c r="B67" s="93" t="str">
        <f>'NG-based'!AO18</f>
        <v>LCA-CO2</v>
      </c>
      <c r="C67" s="476" t="s">
        <v>682</v>
      </c>
      <c r="D67" s="35" t="str">
        <f>'NG-based'!AP18</f>
        <v>mg/MJ</v>
      </c>
      <c r="E67" s="380">
        <f>'NG-based'!AQ18</f>
        <v>7293.9759327798283</v>
      </c>
      <c r="F67" s="380">
        <f>'NG-based'!AR18</f>
        <v>958.25792612362227</v>
      </c>
      <c r="G67" s="380">
        <f>'NG-based'!AS18</f>
        <v>10722.652343278125</v>
      </c>
      <c r="H67" s="380">
        <f>'NG-based'!AU18</f>
        <v>481.64016776563949</v>
      </c>
      <c r="I67" s="380">
        <f>'NG-based'!AV18</f>
        <v>57123</v>
      </c>
      <c r="J67" s="477">
        <f>SUM(E67:I67)</f>
        <v>76579.526369947213</v>
      </c>
    </row>
    <row r="68" spans="2:10">
      <c r="B68" s="93" t="str">
        <f>'NG-based'!AO19</f>
        <v>LCA-CH4</v>
      </c>
      <c r="C68" s="476" t="s">
        <v>683</v>
      </c>
      <c r="D68" s="35" t="str">
        <f>'NG-based'!AP19</f>
        <v>mg/MJ</v>
      </c>
      <c r="E68" s="380">
        <f>'NG-based'!AQ19</f>
        <v>82.425169497414885</v>
      </c>
      <c r="F68" s="380">
        <f>'NG-based'!AR19</f>
        <v>2.1781169934031439</v>
      </c>
      <c r="G68" s="380">
        <f>'NG-based'!AS19</f>
        <v>50.248956532139701</v>
      </c>
      <c r="H68" s="380">
        <f>'NG-based'!AU19</f>
        <v>0</v>
      </c>
      <c r="I68" s="380">
        <f>'NG-based'!AV19</f>
        <v>0</v>
      </c>
      <c r="J68" s="477">
        <f>SUM(E68:I68)</f>
        <v>134.85224302295774</v>
      </c>
    </row>
    <row r="69" spans="2:10">
      <c r="B69" s="93" t="str">
        <f>'NG-based'!AO20</f>
        <v>LCA-N2O</v>
      </c>
      <c r="C69" s="476" t="s">
        <v>684</v>
      </c>
      <c r="D69" s="35" t="str">
        <f>'NG-based'!AP20</f>
        <v>0.001mg/MJ</v>
      </c>
      <c r="E69" s="380">
        <f>'NG-based'!AQ20</f>
        <v>1.5325798843518956E-4</v>
      </c>
      <c r="F69" s="380">
        <f>'NG-based'!AR20</f>
        <v>1.8826877950371856E-5</v>
      </c>
      <c r="G69" s="380">
        <f>'NG-based'!AS20</f>
        <v>1.6881586488252248E-4</v>
      </c>
      <c r="H69" s="380">
        <f>'NG-based'!AU20</f>
        <v>0</v>
      </c>
      <c r="I69" s="380">
        <f>'NG-based'!AV20</f>
        <v>0</v>
      </c>
      <c r="J69" s="477">
        <f>SUM(E69:I69)</f>
        <v>3.4090073126808389E-4</v>
      </c>
    </row>
    <row r="70" spans="2:10">
      <c r="B70" s="101" t="str">
        <f>'NG-based'!AO21</f>
        <v>LCA-GHG</v>
      </c>
      <c r="C70" s="478" t="s">
        <v>685</v>
      </c>
      <c r="D70" s="102" t="str">
        <f>'NG-based'!AP21</f>
        <v>g/MJ</v>
      </c>
      <c r="E70" s="479">
        <f>'NG-based'!AQ21</f>
        <v>9.35460521588608</v>
      </c>
      <c r="F70" s="479">
        <f>'NG-based'!AR21</f>
        <v>1.0127108565691105</v>
      </c>
      <c r="G70" s="479">
        <f>'NG-based'!AS21</f>
        <v>11.978876306888745</v>
      </c>
      <c r="H70" s="479">
        <f>'NG-based'!AU21</f>
        <v>0.4816401677656395</v>
      </c>
      <c r="I70" s="479">
        <f>'NG-based'!AV21</f>
        <v>57.122999999999998</v>
      </c>
      <c r="J70" s="480">
        <f>SUM(E70:I70)</f>
        <v>79.95083254710957</v>
      </c>
    </row>
    <row r="73" spans="2:10">
      <c r="B73" t="str">
        <f>'NG-based'!AY1</f>
        <v>GTL</v>
      </c>
    </row>
    <row r="74" spans="2:10">
      <c r="B74" s="107"/>
      <c r="C74" s="108"/>
      <c r="D74" s="108"/>
      <c r="E74" s="108" t="str">
        <f>'NG-based'!BA2</f>
        <v>NG开采处理阶段</v>
      </c>
      <c r="F74" s="108" t="str">
        <f>'NG-based'!BB2</f>
        <v>NG运输阶段</v>
      </c>
      <c r="G74" s="108" t="str">
        <f>'NG-based'!BC2</f>
        <v>GTL生产</v>
      </c>
      <c r="H74" s="108" t="str">
        <f>'NG-based'!BE2</f>
        <v>GTL输配阶段</v>
      </c>
      <c r="I74" s="108" t="str">
        <f>'NG-based'!BF2</f>
        <v>使用阶段</v>
      </c>
      <c r="J74" s="467" t="s">
        <v>675</v>
      </c>
    </row>
    <row r="75" spans="2:10">
      <c r="B75" s="93" t="str">
        <f>'NG-based'!AY13</f>
        <v>LCA-Coal</v>
      </c>
      <c r="C75" s="476" t="s">
        <v>678</v>
      </c>
      <c r="D75" s="35" t="str">
        <f>'NG-based'!AZ13</f>
        <v>KJ/MJ</v>
      </c>
      <c r="E75" s="380">
        <f>'NG-based'!BA13</f>
        <v>6.5554428262072095</v>
      </c>
      <c r="F75" s="380">
        <f>'NG-based'!BB13</f>
        <v>0.29286326083491621</v>
      </c>
      <c r="G75" s="380">
        <f>'NG-based'!BC13</f>
        <v>83.871281697587662</v>
      </c>
      <c r="H75" s="380">
        <f>'NG-based'!BE13</f>
        <v>2.2847998565108316</v>
      </c>
      <c r="I75" s="380">
        <f>'NG-based'!BF13</f>
        <v>0</v>
      </c>
      <c r="J75" s="477">
        <f>SUM(E75:I75)</f>
        <v>93.004387641140625</v>
      </c>
    </row>
    <row r="76" spans="2:10">
      <c r="B76" s="93" t="str">
        <f>'NG-based'!AY14</f>
        <v>LCA-NG</v>
      </c>
      <c r="C76" s="476" t="s">
        <v>679</v>
      </c>
      <c r="D76" s="35" t="str">
        <f>'NG-based'!AZ14</f>
        <v>KJ/MJ</v>
      </c>
      <c r="E76" s="380">
        <f>'NG-based'!BA14</f>
        <v>152.57564169310851</v>
      </c>
      <c r="F76" s="380">
        <f>'NG-based'!BB14</f>
        <v>0.99015125989321484</v>
      </c>
      <c r="G76" s="380">
        <f>'NG-based'!BC14</f>
        <v>1952.0747818094717</v>
      </c>
      <c r="H76" s="380">
        <f>'NG-based'!BE14</f>
        <v>0.34743223043014071</v>
      </c>
      <c r="I76" s="380">
        <f>'NG-based'!BF14</f>
        <v>1000</v>
      </c>
      <c r="J76" s="477">
        <f>SUM(E76:I76)</f>
        <v>3105.9880069929036</v>
      </c>
    </row>
    <row r="77" spans="2:10">
      <c r="B77" s="93" t="str">
        <f>'NG-based'!AY15</f>
        <v>LCA-Oil</v>
      </c>
      <c r="C77" s="476" t="s">
        <v>680</v>
      </c>
      <c r="D77" s="35" t="str">
        <f>'NG-based'!AZ15</f>
        <v>KJ/MJ</v>
      </c>
      <c r="E77" s="380">
        <f>'NG-based'!BA15</f>
        <v>7.0109232671493631</v>
      </c>
      <c r="F77" s="380">
        <f>'NG-based'!BB15</f>
        <v>5.2574433635484398E-2</v>
      </c>
      <c r="G77" s="380">
        <f>'NG-based'!BC15</f>
        <v>89.698764200719069</v>
      </c>
      <c r="H77" s="380">
        <f>'NG-based'!BE15</f>
        <v>4.686319625465666</v>
      </c>
      <c r="I77" s="380">
        <f>'NG-based'!BF15</f>
        <v>0</v>
      </c>
      <c r="J77" s="477">
        <f>SUM(E77:I77)</f>
        <v>101.44858152696959</v>
      </c>
    </row>
    <row r="78" spans="2:10">
      <c r="B78" s="93" t="str">
        <f>'NG-based'!AY16</f>
        <v>LCA-PE</v>
      </c>
      <c r="C78" s="476" t="s">
        <v>681</v>
      </c>
      <c r="D78" s="35" t="str">
        <f>'NG-based'!AZ16</f>
        <v>KJ/MJ</v>
      </c>
      <c r="E78" s="380">
        <f>'NG-based'!BA16</f>
        <v>166.14200778646509</v>
      </c>
      <c r="F78" s="380">
        <f>'NG-based'!BB16</f>
        <v>1.3355889543636152</v>
      </c>
      <c r="G78" s="380">
        <f>'NG-based'!BC16</f>
        <v>2125.6448277077784</v>
      </c>
      <c r="H78" s="380">
        <f>'NG-based'!BE16</f>
        <v>7.3185517124066379</v>
      </c>
      <c r="I78" s="380">
        <f>'NG-based'!BF16</f>
        <v>1000</v>
      </c>
      <c r="J78" s="477">
        <f>SUM(E78:I78)</f>
        <v>3300.4409761610136</v>
      </c>
    </row>
    <row r="79" spans="2:10">
      <c r="B79" s="93"/>
      <c r="C79" s="35"/>
      <c r="D79" s="35"/>
      <c r="E79" s="380"/>
      <c r="F79" s="380"/>
      <c r="G79" s="380"/>
      <c r="H79" s="380"/>
      <c r="I79" s="380"/>
      <c r="J79" s="84"/>
    </row>
    <row r="80" spans="2:10">
      <c r="B80" s="93" t="str">
        <f>'NG-based'!AY18</f>
        <v>LCA-CO2</v>
      </c>
      <c r="C80" s="476" t="s">
        <v>682</v>
      </c>
      <c r="D80" s="35" t="str">
        <f>'NG-based'!AZ18</f>
        <v>mg/MJ</v>
      </c>
      <c r="E80" s="380">
        <f>'NG-based'!BA18</f>
        <v>9725.301243706439</v>
      </c>
      <c r="F80" s="380">
        <f>'NG-based'!BB18</f>
        <v>85.178482322099768</v>
      </c>
      <c r="G80" s="380">
        <f>'NG-based'!BC18</f>
        <v>124426.90781222594</v>
      </c>
      <c r="H80" s="380">
        <f>'NG-based'!BE18</f>
        <v>243.13825208208331</v>
      </c>
      <c r="I80" s="380">
        <f>'NG-based'!BF18</f>
        <v>72600</v>
      </c>
      <c r="J80" s="477">
        <f>SUM(E80:I80)</f>
        <v>207080.52579033654</v>
      </c>
    </row>
    <row r="81" spans="1:18">
      <c r="B81" s="93" t="str">
        <f>'NG-based'!AY19</f>
        <v>LCA-CH4</v>
      </c>
      <c r="C81" s="476" t="s">
        <v>683</v>
      </c>
      <c r="D81" s="35" t="str">
        <f>'NG-based'!AZ19</f>
        <v>mg/MJ</v>
      </c>
      <c r="E81" s="380">
        <f>'NG-based'!BA19</f>
        <v>109.90022599655319</v>
      </c>
      <c r="F81" s="380">
        <f>'NG-based'!BB19</f>
        <v>0.1936103994136128</v>
      </c>
      <c r="G81" s="380">
        <f>'NG-based'!BC19</f>
        <v>177.84149768743526</v>
      </c>
      <c r="H81" s="380">
        <f>'NG-based'!BE19</f>
        <v>0.999171346290603</v>
      </c>
      <c r="I81" s="380">
        <f>'NG-based'!BF19</f>
        <v>0</v>
      </c>
      <c r="J81" s="477">
        <f>SUM(E81:I81)</f>
        <v>288.93450542969265</v>
      </c>
    </row>
    <row r="82" spans="1:18">
      <c r="B82" s="93" t="str">
        <f>'NG-based'!AY20</f>
        <v>LCA-N2O</v>
      </c>
      <c r="C82" s="476" t="s">
        <v>684</v>
      </c>
      <c r="D82" s="35" t="str">
        <f>'NG-based'!AZ20</f>
        <v>0.001mg/MJ</v>
      </c>
      <c r="E82" s="380">
        <f>'NG-based'!BA20</f>
        <v>2.0434398458025273E-4</v>
      </c>
      <c r="F82" s="380">
        <f>'NG-based'!BB20</f>
        <v>1.6735002622552761E-6</v>
      </c>
      <c r="G82" s="380">
        <f>'NG-based'!BC20</f>
        <v>2.6144064326854609E-3</v>
      </c>
      <c r="H82" s="380">
        <f>'NG-based'!BE20</f>
        <v>4.396706286491206E-3</v>
      </c>
      <c r="I82" s="380">
        <f>'NG-based'!BF20</f>
        <v>0</v>
      </c>
      <c r="J82" s="477">
        <f>SUM(E82:I82)</f>
        <v>7.2171302040191752E-3</v>
      </c>
    </row>
    <row r="83" spans="1:18">
      <c r="B83" s="101" t="str">
        <f>'NG-based'!AY21</f>
        <v>LCA-GHG</v>
      </c>
      <c r="C83" s="478" t="s">
        <v>685</v>
      </c>
      <c r="D83" s="102" t="str">
        <f>'NG-based'!AZ21</f>
        <v>g/MJ</v>
      </c>
      <c r="E83" s="479">
        <f>'NG-based'!BA21</f>
        <v>12.472806954514775</v>
      </c>
      <c r="F83" s="479">
        <f>'NG-based'!BB21</f>
        <v>9.0018742806143165E-2</v>
      </c>
      <c r="G83" s="479">
        <f>'NG-based'!BC21</f>
        <v>128.87294603350495</v>
      </c>
      <c r="H83" s="479">
        <f>'NG-based'!BE21</f>
        <v>0.26811884595782176</v>
      </c>
      <c r="I83" s="479">
        <f>'NG-based'!BF21</f>
        <v>72.599999999999994</v>
      </c>
      <c r="J83" s="480">
        <f>SUM(E83:I83)</f>
        <v>214.30389057678369</v>
      </c>
    </row>
    <row r="86" spans="1:18">
      <c r="A86" t="s">
        <v>665</v>
      </c>
    </row>
    <row r="88" spans="1:18">
      <c r="B88" t="str">
        <f>'Oil-based'!F1</f>
        <v>柴油</v>
      </c>
    </row>
    <row r="89" spans="1:18">
      <c r="B89" s="107"/>
      <c r="C89" s="108"/>
      <c r="D89" s="108"/>
      <c r="E89" s="108" t="str">
        <f>'Oil-based'!F2</f>
        <v>原油开采处理</v>
      </c>
      <c r="F89" s="108" t="str">
        <f>'Oil-based'!G2</f>
        <v>原油运输</v>
      </c>
      <c r="G89" s="108" t="str">
        <f>'Oil-based'!H2</f>
        <v>柴油炼制</v>
      </c>
      <c r="H89" s="108" t="str">
        <f>'Oil-based'!I2</f>
        <v>柴油输配</v>
      </c>
      <c r="I89" s="108" t="str">
        <f>'Oil-based'!J2</f>
        <v>柴油使用</v>
      </c>
      <c r="J89" s="467" t="str">
        <f>'Oil-based'!K2</f>
        <v>合计</v>
      </c>
    </row>
    <row r="90" spans="1:18">
      <c r="B90" s="93" t="str">
        <f>'Oil-based'!E5</f>
        <v>LCA-Coal</v>
      </c>
      <c r="C90" s="476" t="s">
        <v>678</v>
      </c>
      <c r="D90" s="35" t="s">
        <v>667</v>
      </c>
      <c r="E90" s="481">
        <f>'Oil-based'!F5</f>
        <v>3.6731070826015615E-2</v>
      </c>
      <c r="F90" s="481">
        <f>'Oil-based'!G5</f>
        <v>7.6483395142159169E-3</v>
      </c>
      <c r="G90" s="481">
        <f>'Oil-based'!H5</f>
        <v>3.0192737536267684E-2</v>
      </c>
      <c r="H90" s="481">
        <f>'Oil-based'!I5</f>
        <v>2.2847998565108316E-3</v>
      </c>
      <c r="I90" s="481">
        <f>'Oil-based'!J5</f>
        <v>0</v>
      </c>
      <c r="J90" s="347">
        <f>'Oil-based'!K5</f>
        <v>7.685694773301005E-2</v>
      </c>
      <c r="R90" s="314"/>
    </row>
    <row r="91" spans="1:18">
      <c r="B91" s="93" t="str">
        <f>'Oil-based'!E6</f>
        <v>LCA-NG</v>
      </c>
      <c r="C91" s="476" t="s">
        <v>679</v>
      </c>
      <c r="D91" s="35" t="s">
        <v>667</v>
      </c>
      <c r="E91" s="481">
        <f>'Oil-based'!F6</f>
        <v>4.3746751981384363E-2</v>
      </c>
      <c r="F91" s="481">
        <f>'Oil-based'!G6</f>
        <v>9.5335311632136334E-4</v>
      </c>
      <c r="G91" s="481">
        <f>'Oil-based'!H6</f>
        <v>9.1354134032836688E-3</v>
      </c>
      <c r="H91" s="481">
        <f>'Oil-based'!I6</f>
        <v>3.4743223043014068E-4</v>
      </c>
      <c r="I91" s="481">
        <f>'Oil-based'!J6</f>
        <v>0</v>
      </c>
      <c r="J91" s="347">
        <f>'Oil-based'!K6</f>
        <v>5.4182950731419544E-2</v>
      </c>
      <c r="R91" s="314"/>
    </row>
    <row r="92" spans="1:18">
      <c r="B92" s="93" t="str">
        <f>'Oil-based'!E7</f>
        <v>LCA-Oil</v>
      </c>
      <c r="C92" s="476" t="s">
        <v>680</v>
      </c>
      <c r="D92" s="35" t="s">
        <v>667</v>
      </c>
      <c r="E92" s="481">
        <f>'Oil-based'!F7</f>
        <v>3.936502969774841E-2</v>
      </c>
      <c r="F92" s="481">
        <f>'Oil-based'!G7</f>
        <v>1.0023428574974628E-2</v>
      </c>
      <c r="G92" s="481">
        <f>'Oil-based'!H7</f>
        <v>9.8237511507565378E-2</v>
      </c>
      <c r="H92" s="481">
        <f>'Oil-based'!I7</f>
        <v>4.6863196254656658E-3</v>
      </c>
      <c r="I92" s="481">
        <f>'Oil-based'!J7</f>
        <v>1</v>
      </c>
      <c r="J92" s="347">
        <f>'Oil-based'!K7</f>
        <v>1.152312289405754</v>
      </c>
      <c r="R92" s="314"/>
    </row>
    <row r="93" spans="1:18">
      <c r="B93" s="93" t="str">
        <f>'Oil-based'!E8</f>
        <v>LCA-PE</v>
      </c>
      <c r="C93" s="476" t="s">
        <v>681</v>
      </c>
      <c r="D93" s="35" t="s">
        <v>667</v>
      </c>
      <c r="E93" s="481">
        <f>'Oil-based'!F8</f>
        <v>0.1198428525051484</v>
      </c>
      <c r="F93" s="481">
        <f>'Oil-based'!G8</f>
        <v>1.8625121205511908E-2</v>
      </c>
      <c r="G93" s="481">
        <f>'Oil-based'!H8</f>
        <v>0.13756566244711674</v>
      </c>
      <c r="H93" s="481">
        <f>'Oil-based'!I8</f>
        <v>7.3185517124066384E-3</v>
      </c>
      <c r="I93" s="481">
        <f>'Oil-based'!J8</f>
        <v>1</v>
      </c>
      <c r="J93" s="347">
        <f>'Oil-based'!K8</f>
        <v>1.2833521878701837</v>
      </c>
      <c r="R93" s="314"/>
    </row>
    <row r="94" spans="1:18">
      <c r="B94" s="93"/>
      <c r="C94" s="35"/>
      <c r="D94" s="35"/>
      <c r="E94" s="481"/>
      <c r="F94" s="481"/>
      <c r="G94" s="481"/>
      <c r="H94" s="481"/>
      <c r="I94" s="481"/>
      <c r="J94" s="347"/>
      <c r="R94" s="314"/>
    </row>
    <row r="95" spans="1:18">
      <c r="B95" s="93" t="str">
        <f>'Oil-based'!E10</f>
        <v>LCA-CO2</v>
      </c>
      <c r="C95" s="476" t="s">
        <v>682</v>
      </c>
      <c r="D95" s="35" t="s">
        <v>668</v>
      </c>
      <c r="E95" s="481">
        <f>'Oil-based'!F10</f>
        <v>8.2694057704500157</v>
      </c>
      <c r="F95" s="481">
        <f>'Oil-based'!G10</f>
        <v>1.4334440667981583</v>
      </c>
      <c r="G95" s="481">
        <f>'Oil-based'!H10</f>
        <v>10.049833925618231</v>
      </c>
      <c r="H95" s="481">
        <f>'Oil-based'!I10</f>
        <v>0.55806620693335285</v>
      </c>
      <c r="I95" s="481">
        <f>'Oil-based'!J10</f>
        <v>72.585333333333324</v>
      </c>
      <c r="J95" s="347">
        <f>'Oil-based'!K10</f>
        <v>92.896083303133082</v>
      </c>
      <c r="R95" s="314"/>
    </row>
    <row r="96" spans="1:18">
      <c r="B96" s="93" t="str">
        <f>'Oil-based'!E11</f>
        <v>LCA-CH4</v>
      </c>
      <c r="C96" s="476" t="s">
        <v>683</v>
      </c>
      <c r="D96" s="35" t="s">
        <v>668</v>
      </c>
      <c r="E96" s="481">
        <f>'Oil-based'!F11</f>
        <v>2.92331498421005E-2</v>
      </c>
      <c r="F96" s="481">
        <f>'Oil-based'!G11</f>
        <v>3.2951759247019387E-3</v>
      </c>
      <c r="G96" s="481">
        <f>'Oil-based'!H11</f>
        <v>1.4087571962384245E-2</v>
      </c>
      <c r="H96" s="481">
        <f>'Oil-based'!I11</f>
        <v>1.0085557508089156E-3</v>
      </c>
      <c r="I96" s="481">
        <f>'Oil-based'!J11</f>
        <v>4.0000000000000001E-3</v>
      </c>
      <c r="J96" s="347">
        <f>'Oil-based'!K11</f>
        <v>5.16244534799956E-2</v>
      </c>
      <c r="R96" s="314"/>
    </row>
    <row r="97" spans="2:18">
      <c r="B97" s="93" t="str">
        <f>'Oil-based'!E12</f>
        <v>LCA-N2O</v>
      </c>
      <c r="C97" s="476" t="s">
        <v>684</v>
      </c>
      <c r="D97" s="35" t="s">
        <v>669</v>
      </c>
      <c r="E97" s="481">
        <f>'Oil-based'!F12</f>
        <v>3.3432980486573067E-4</v>
      </c>
      <c r="F97" s="481">
        <f>'Oil-based'!G12</f>
        <v>2.316102614775857E-5</v>
      </c>
      <c r="G97" s="481">
        <f>'Oil-based'!H12</f>
        <v>7.8153805845627351E-5</v>
      </c>
      <c r="H97" s="481">
        <f>'Oil-based'!I12</f>
        <v>1.8858934965282446E-5</v>
      </c>
      <c r="I97" s="481">
        <f>'Oil-based'!J12</f>
        <v>2.8000000000000001E-2</v>
      </c>
      <c r="J97" s="347">
        <f>'Oil-based'!K12</f>
        <v>2.8454503571824399E-2</v>
      </c>
      <c r="R97" s="314"/>
    </row>
    <row r="98" spans="2:18">
      <c r="B98" s="101" t="str">
        <f>'Oil-based'!E13</f>
        <v>LCA-GHG</v>
      </c>
      <c r="C98" s="478" t="s">
        <v>685</v>
      </c>
      <c r="D98" s="102" t="s">
        <v>668</v>
      </c>
      <c r="E98" s="726">
        <f>'Oil-based'!F13</f>
        <v>9.0003341467843789</v>
      </c>
      <c r="F98" s="726">
        <f>'Oil-based'!G13</f>
        <v>1.5158303669014987</v>
      </c>
      <c r="G98" s="726">
        <f>'Oil-based'!H13</f>
        <v>10.402046514511978</v>
      </c>
      <c r="H98" s="726">
        <f>'Oil-based'!I13</f>
        <v>0.58328572066619533</v>
      </c>
      <c r="I98" s="726">
        <f>'Oil-based'!J13</f>
        <v>72.693677333333312</v>
      </c>
      <c r="J98" s="727">
        <f>'Oil-based'!K13</f>
        <v>94.195174082197369</v>
      </c>
      <c r="R98" s="314"/>
    </row>
    <row r="101" spans="2:18">
      <c r="B101" t="s">
        <v>666</v>
      </c>
    </row>
    <row r="102" spans="2:18">
      <c r="B102" s="107"/>
      <c r="C102" s="108"/>
      <c r="D102" s="108"/>
      <c r="E102" s="108" t="str">
        <f>'Oil-based'!N2</f>
        <v>原油开采处理</v>
      </c>
      <c r="F102" s="108" t="str">
        <f>'Oil-based'!O2</f>
        <v>原油运输</v>
      </c>
      <c r="G102" s="108" t="str">
        <f>'Oil-based'!P2</f>
        <v>汽油炼制</v>
      </c>
      <c r="H102" s="108" t="str">
        <f>'Oil-based'!Q2</f>
        <v>汽油输配</v>
      </c>
      <c r="I102" s="108" t="str">
        <f>'Oil-based'!R2</f>
        <v>汽油使用</v>
      </c>
      <c r="J102" s="467" t="str">
        <f>'Oil-based'!S2</f>
        <v>合计</v>
      </c>
    </row>
    <row r="103" spans="2:18">
      <c r="B103" s="346" t="str">
        <f>'Oil-based'!M5</f>
        <v>LCA-Coal</v>
      </c>
      <c r="C103" s="476" t="s">
        <v>678</v>
      </c>
      <c r="D103" s="35" t="s">
        <v>667</v>
      </c>
      <c r="E103" s="481">
        <f>'Oil-based'!N5</f>
        <v>3.6978418104305286E-2</v>
      </c>
      <c r="F103" s="481">
        <f>'Oil-based'!O5</f>
        <v>7.6998434840086167E-3</v>
      </c>
      <c r="G103" s="481">
        <f>'Oil-based'!P5</f>
        <v>3.21666996516786E-2</v>
      </c>
      <c r="H103" s="481">
        <f>'Oil-based'!Q5</f>
        <v>2.2847998565108316E-3</v>
      </c>
      <c r="I103" s="481">
        <f>'Oil-based'!R5</f>
        <v>0</v>
      </c>
      <c r="J103" s="347">
        <f>'Oil-based'!S5</f>
        <v>7.9129761096503326E-2</v>
      </c>
    </row>
    <row r="104" spans="2:18">
      <c r="B104" s="346" t="str">
        <f>'Oil-based'!M6</f>
        <v>LCA-NG</v>
      </c>
      <c r="C104" s="476" t="s">
        <v>679</v>
      </c>
      <c r="D104" s="35" t="s">
        <v>667</v>
      </c>
      <c r="E104" s="481">
        <f>'Oil-based'!N6</f>
        <v>4.4041342903817927E-2</v>
      </c>
      <c r="F104" s="481">
        <f>'Oil-based'!O6</f>
        <v>9.5977300262655785E-4</v>
      </c>
      <c r="G104" s="481">
        <f>'Oil-based'!P6</f>
        <v>9.7326749117851025E-3</v>
      </c>
      <c r="H104" s="481">
        <f>'Oil-based'!Q6</f>
        <v>3.4743223043014068E-4</v>
      </c>
      <c r="I104" s="481">
        <f>'Oil-based'!R6</f>
        <v>0</v>
      </c>
      <c r="J104" s="347">
        <f>'Oil-based'!S6</f>
        <v>5.5081223048659728E-2</v>
      </c>
    </row>
    <row r="105" spans="2:18">
      <c r="B105" s="346" t="str">
        <f>'Oil-based'!M7</f>
        <v>LCA-Oil</v>
      </c>
      <c r="C105" s="476" t="s">
        <v>680</v>
      </c>
      <c r="D105" s="35" t="s">
        <v>667</v>
      </c>
      <c r="E105" s="481">
        <f>'Oil-based'!N7</f>
        <v>3.9630114072817441E-2</v>
      </c>
      <c r="F105" s="481">
        <f>'Oil-based'!O7</f>
        <v>1.0090926410496344E-2</v>
      </c>
      <c r="G105" s="481">
        <f>'Oil-based'!P7</f>
        <v>0.10466015290585673</v>
      </c>
      <c r="H105" s="481">
        <f>'Oil-based'!Q7</f>
        <v>4.6863196254656658E-3</v>
      </c>
      <c r="I105" s="481">
        <f>'Oil-based'!R7</f>
        <v>1</v>
      </c>
      <c r="J105" s="347">
        <f>'Oil-based'!S7</f>
        <v>1.1590675130146362</v>
      </c>
    </row>
    <row r="106" spans="2:18">
      <c r="B106" s="346" t="str">
        <f>'Oil-based'!M8</f>
        <v>LCA-PE</v>
      </c>
      <c r="C106" s="476" t="s">
        <v>681</v>
      </c>
      <c r="D106" s="35" t="s">
        <v>667</v>
      </c>
      <c r="E106" s="481">
        <f>'Oil-based'!N8</f>
        <v>0.12064987508094066</v>
      </c>
      <c r="F106" s="481">
        <f>'Oil-based'!O8</f>
        <v>1.8750542897131517E-2</v>
      </c>
      <c r="G106" s="481">
        <f>'Oil-based'!P8</f>
        <v>0.14655952746932044</v>
      </c>
      <c r="H106" s="481">
        <f>'Oil-based'!Q8</f>
        <v>7.3185517124066384E-3</v>
      </c>
      <c r="I106" s="481">
        <f>'Oil-based'!R8</f>
        <v>1</v>
      </c>
      <c r="J106" s="347">
        <f>'Oil-based'!S8</f>
        <v>1.2932784971597993</v>
      </c>
    </row>
    <row r="107" spans="2:18">
      <c r="B107" s="346"/>
      <c r="C107" s="481"/>
      <c r="D107" s="35"/>
      <c r="E107" s="481"/>
      <c r="F107" s="481"/>
      <c r="G107" s="481"/>
      <c r="H107" s="481"/>
      <c r="I107" s="481"/>
      <c r="J107" s="347"/>
    </row>
    <row r="108" spans="2:18">
      <c r="B108" s="346" t="str">
        <f>'Oil-based'!M10</f>
        <v>LCA-CO2</v>
      </c>
      <c r="C108" s="476" t="s">
        <v>682</v>
      </c>
      <c r="D108" s="35" t="s">
        <v>668</v>
      </c>
      <c r="E108" s="481">
        <f>'Oil-based'!N10</f>
        <v>8.3250920045944614</v>
      </c>
      <c r="F108" s="481">
        <f>'Oil-based'!O10</f>
        <v>1.4430968887967994</v>
      </c>
      <c r="G108" s="481">
        <f>'Oil-based'!P10</f>
        <v>10.706879064751847</v>
      </c>
      <c r="H108" s="481">
        <f>'Oil-based'!Q10</f>
        <v>0.55806620693335285</v>
      </c>
      <c r="I108" s="481">
        <f>'Oil-based'!R10</f>
        <v>67.914000000000001</v>
      </c>
      <c r="J108" s="347">
        <f>'Oil-based'!S10</f>
        <v>88.947134165076463</v>
      </c>
    </row>
    <row r="109" spans="2:18">
      <c r="B109" s="346" t="str">
        <f>'Oil-based'!M11</f>
        <v>LCA-CH4</v>
      </c>
      <c r="C109" s="476" t="s">
        <v>683</v>
      </c>
      <c r="D109" s="35" t="s">
        <v>668</v>
      </c>
      <c r="E109" s="481">
        <f>'Oil-based'!N11</f>
        <v>2.9430006069993433E-2</v>
      </c>
      <c r="F109" s="481">
        <f>'Oil-based'!O11</f>
        <v>3.317365661568619E-3</v>
      </c>
      <c r="G109" s="481">
        <f>'Oil-based'!P11</f>
        <v>1.500859919015609E-2</v>
      </c>
      <c r="H109" s="481">
        <f>'Oil-based'!Q11</f>
        <v>1.0085557508089156E-3</v>
      </c>
      <c r="I109" s="481">
        <f>'Oil-based'!R11</f>
        <v>0.08</v>
      </c>
      <c r="J109" s="347">
        <f>'Oil-based'!S11</f>
        <v>0.12876452667252705</v>
      </c>
    </row>
    <row r="110" spans="2:18">
      <c r="B110" s="346" t="str">
        <f>'Oil-based'!M12</f>
        <v>LCA-N2O</v>
      </c>
      <c r="C110" s="476" t="s">
        <v>684</v>
      </c>
      <c r="D110" s="35" t="s">
        <v>669</v>
      </c>
      <c r="E110" s="481">
        <f>'Oil-based'!N12</f>
        <v>3.3658118402307566E-4</v>
      </c>
      <c r="F110" s="481">
        <f>'Oil-based'!O12</f>
        <v>2.3316992653804083E-5</v>
      </c>
      <c r="G110" s="481">
        <f>'Oil-based'!P12</f>
        <v>8.3263400552935213E-5</v>
      </c>
      <c r="H110" s="481">
        <f>'Oil-based'!Q12</f>
        <v>1.8858934965282446E-5</v>
      </c>
      <c r="I110" s="481">
        <f>'Oil-based'!R12</f>
        <v>2E-3</v>
      </c>
      <c r="J110" s="347">
        <f>'Oil-based'!S12</f>
        <v>2.4620205121950976E-3</v>
      </c>
    </row>
    <row r="111" spans="2:18">
      <c r="B111" s="482" t="str">
        <f>'Oil-based'!M13</f>
        <v>LCA-GHG</v>
      </c>
      <c r="C111" s="478" t="s">
        <v>685</v>
      </c>
      <c r="D111" s="102" t="s">
        <v>668</v>
      </c>
      <c r="E111" s="726">
        <f>'Oil-based'!N13</f>
        <v>9.060942457537136</v>
      </c>
      <c r="F111" s="726">
        <f>'Oil-based'!O13</f>
        <v>1.5260379787998257</v>
      </c>
      <c r="G111" s="726">
        <f>'Oil-based'!P13</f>
        <v>11.082118856999115</v>
      </c>
      <c r="H111" s="726">
        <f>'Oil-based'!Q13</f>
        <v>0.58328572066619533</v>
      </c>
      <c r="I111" s="726">
        <f>'Oil-based'!R13</f>
        <v>69.914596000000003</v>
      </c>
      <c r="J111" s="727">
        <f>'Oil-based'!S13</f>
        <v>92.166981014002275</v>
      </c>
    </row>
    <row r="114" spans="1:13">
      <c r="E114" t="str">
        <f>'Oil-based'!V1</f>
        <v>燃料油</v>
      </c>
    </row>
    <row r="115" spans="1:13">
      <c r="B115" s="107"/>
      <c r="C115" s="108"/>
      <c r="D115" s="108"/>
      <c r="E115" s="108" t="str">
        <f>'Oil-based'!V2</f>
        <v>原油开采处理</v>
      </c>
      <c r="F115" s="108" t="str">
        <f>'Oil-based'!W2</f>
        <v>原油运输</v>
      </c>
      <c r="G115" s="108" t="str">
        <f>'Oil-based'!X2</f>
        <v>燃料油炼制</v>
      </c>
      <c r="H115" s="108" t="str">
        <f>'Oil-based'!Y2</f>
        <v>燃料油输配</v>
      </c>
      <c r="I115" s="108" t="str">
        <f>'Oil-based'!Z2</f>
        <v>燃料油使用</v>
      </c>
      <c r="J115" s="467" t="str">
        <f>'Oil-based'!AA2</f>
        <v>合计</v>
      </c>
    </row>
    <row r="116" spans="1:13">
      <c r="B116" s="346" t="str">
        <f>'Oil-based'!U5</f>
        <v>LCA-Coal</v>
      </c>
      <c r="C116" s="476" t="s">
        <v>678</v>
      </c>
      <c r="D116" s="35" t="s">
        <v>667</v>
      </c>
      <c r="E116" s="481">
        <f>'Oil-based'!V5</f>
        <v>3.4328122400075899E-2</v>
      </c>
      <c r="F116" s="481">
        <f>'Oil-based'!W5</f>
        <v>6.9335452308926515E-3</v>
      </c>
      <c r="G116" s="481">
        <f>'Oil-based'!X5</f>
        <v>1.678344488950554E-2</v>
      </c>
      <c r="H116" s="481">
        <f>'Oil-based'!Y5</f>
        <v>2.2847998565108316E-3</v>
      </c>
      <c r="I116" s="481">
        <f>'Oil-based'!Z5</f>
        <v>0</v>
      </c>
      <c r="J116" s="347">
        <f>'Oil-based'!AA5</f>
        <v>6.0329912376984922E-2</v>
      </c>
    </row>
    <row r="117" spans="1:13">
      <c r="B117" s="346" t="str">
        <f>'Oil-based'!U6</f>
        <v>LCA-NG</v>
      </c>
      <c r="C117" s="476" t="s">
        <v>679</v>
      </c>
      <c r="D117" s="35" t="s">
        <v>667</v>
      </c>
      <c r="E117" s="481">
        <f>'Oil-based'!V6</f>
        <v>4.088483735571033E-2</v>
      </c>
      <c r="F117" s="481">
        <f>'Oil-based'!W6</f>
        <v>8.6425516816303165E-4</v>
      </c>
      <c r="G117" s="481">
        <f>'Oil-based'!X6</f>
        <v>5.0781651452667526E-3</v>
      </c>
      <c r="H117" s="481">
        <f>'Oil-based'!Y6</f>
        <v>3.4743223043014068E-4</v>
      </c>
      <c r="I117" s="481">
        <f>'Oil-based'!Z6</f>
        <v>0</v>
      </c>
      <c r="J117" s="347">
        <f>'Oil-based'!AA6</f>
        <v>4.7174689899570257E-2</v>
      </c>
    </row>
    <row r="118" spans="1:13">
      <c r="B118" s="346" t="str">
        <f>'Oil-based'!U7</f>
        <v>LCA-Oil</v>
      </c>
      <c r="C118" s="476" t="s">
        <v>680</v>
      </c>
      <c r="D118" s="35" t="s">
        <v>667</v>
      </c>
      <c r="E118" s="481">
        <f>'Oil-based'!V7</f>
        <v>3.6789767555315114E-2</v>
      </c>
      <c r="F118" s="481">
        <f>'Oil-based'!W7</f>
        <v>9.0866645320900295E-3</v>
      </c>
      <c r="G118" s="481">
        <f>'Oil-based'!X7</f>
        <v>5.4607961881193628E-2</v>
      </c>
      <c r="H118" s="481">
        <f>'Oil-based'!Y7</f>
        <v>4.6863196254656658E-3</v>
      </c>
      <c r="I118" s="481">
        <f>'Oil-based'!Z7</f>
        <v>1</v>
      </c>
      <c r="J118" s="347">
        <f>'Oil-based'!AA7</f>
        <v>1.1051707135940645</v>
      </c>
    </row>
    <row r="119" spans="1:13">
      <c r="B119" s="346" t="str">
        <f>'Oil-based'!U8</f>
        <v>LCA-PE</v>
      </c>
      <c r="C119" s="476" t="s">
        <v>681</v>
      </c>
      <c r="D119" s="35" t="s">
        <v>667</v>
      </c>
      <c r="E119" s="481">
        <f>'Oil-based'!V8</f>
        <v>0.11200272731110135</v>
      </c>
      <c r="F119" s="481">
        <f>'Oil-based'!W8</f>
        <v>1.6884464931145711E-2</v>
      </c>
      <c r="G119" s="481">
        <f>'Oil-based'!X8</f>
        <v>7.6469571915965928E-2</v>
      </c>
      <c r="H119" s="481">
        <f>'Oil-based'!Y8</f>
        <v>7.3185517124066384E-3</v>
      </c>
      <c r="I119" s="481">
        <f>'Oil-based'!Z8</f>
        <v>1</v>
      </c>
      <c r="J119" s="347">
        <f>'Oil-based'!AA8</f>
        <v>1.2126753158706196</v>
      </c>
    </row>
    <row r="120" spans="1:13">
      <c r="B120" s="346"/>
      <c r="C120" s="481"/>
      <c r="D120" s="35"/>
      <c r="E120" s="481"/>
      <c r="F120" s="481"/>
      <c r="G120" s="481"/>
      <c r="H120" s="481"/>
      <c r="I120" s="481"/>
      <c r="J120" s="347"/>
    </row>
    <row r="121" spans="1:13">
      <c r="B121" s="346" t="str">
        <f>'Oil-based'!U10</f>
        <v>LCA-CO2</v>
      </c>
      <c r="C121" s="476" t="s">
        <v>682</v>
      </c>
      <c r="D121" s="35" t="s">
        <v>668</v>
      </c>
      <c r="E121" s="481">
        <f>'Oil-based'!V10</f>
        <v>7.7284208458971069</v>
      </c>
      <c r="F121" s="481">
        <f>'Oil-based'!W10</f>
        <v>1.2994780441723943</v>
      </c>
      <c r="G121" s="481">
        <f>'Oil-based'!X10</f>
        <v>5.586470376748327</v>
      </c>
      <c r="H121" s="481">
        <f>'Oil-based'!Y10</f>
        <v>0.55806620693335285</v>
      </c>
      <c r="I121" s="481">
        <f>'Oil-based'!Z10</f>
        <v>75.819333333333333</v>
      </c>
      <c r="J121" s="347">
        <f>'Oil-based'!AA10</f>
        <v>90.991768807084512</v>
      </c>
    </row>
    <row r="122" spans="1:13">
      <c r="B122" s="346" t="str">
        <f>'Oil-based'!U11</f>
        <v>LCA-CH4</v>
      </c>
      <c r="C122" s="476" t="s">
        <v>683</v>
      </c>
      <c r="D122" s="35" t="s">
        <v>668</v>
      </c>
      <c r="E122" s="481">
        <f>'Oil-based'!V11</f>
        <v>2.732071576874966E-2</v>
      </c>
      <c r="F122" s="481">
        <f>'Oil-based'!W11</f>
        <v>2.9872171959944229E-3</v>
      </c>
      <c r="G122" s="481">
        <f>'Oil-based'!X11</f>
        <v>7.8309556188341234E-3</v>
      </c>
      <c r="H122" s="481">
        <f>'Oil-based'!Y11</f>
        <v>1.0085557508089156E-3</v>
      </c>
      <c r="I122" s="481">
        <f>'Oil-based'!Z11</f>
        <v>2E-3</v>
      </c>
      <c r="J122" s="347">
        <f>'Oil-based'!AA11</f>
        <v>4.1147444334387127E-2</v>
      </c>
    </row>
    <row r="123" spans="1:13">
      <c r="B123" s="346" t="str">
        <f>'Oil-based'!U12</f>
        <v>LCA-N2O</v>
      </c>
      <c r="C123" s="476" t="s">
        <v>684</v>
      </c>
      <c r="D123" s="35" t="s">
        <v>669</v>
      </c>
      <c r="E123" s="481">
        <f>'Oil-based'!V12</f>
        <v>3.1245793289792978E-4</v>
      </c>
      <c r="F123" s="481">
        <f>'Oil-based'!W12</f>
        <v>2.0996455778523901E-5</v>
      </c>
      <c r="G123" s="481">
        <f>'Oil-based'!X12</f>
        <v>4.3443894139761029E-5</v>
      </c>
      <c r="H123" s="481">
        <f>'Oil-based'!Y12</f>
        <v>1.8858934965282446E-5</v>
      </c>
      <c r="I123" s="481">
        <f>'Oil-based'!Z12</f>
        <v>0</v>
      </c>
      <c r="J123" s="347">
        <f>'Oil-based'!AA12</f>
        <v>3.9575721778149715E-4</v>
      </c>
    </row>
    <row r="124" spans="1:13">
      <c r="B124" s="482" t="str">
        <f>'Oil-based'!U13</f>
        <v>LCA-GHG</v>
      </c>
      <c r="C124" s="478" t="s">
        <v>685</v>
      </c>
      <c r="D124" s="102" t="s">
        <v>668</v>
      </c>
      <c r="E124" s="726">
        <f>'Oil-based'!V13</f>
        <v>8.4115318525798521</v>
      </c>
      <c r="F124" s="726">
        <f>'Oil-based'!W13</f>
        <v>1.3741647310160767</v>
      </c>
      <c r="G124" s="726">
        <f>'Oil-based'!X13</f>
        <v>5.7822572134996344</v>
      </c>
      <c r="H124" s="726">
        <f>'Oil-based'!Y13</f>
        <v>0.58328572066619533</v>
      </c>
      <c r="I124" s="726">
        <f>'Oil-based'!Z13</f>
        <v>75.86933333333333</v>
      </c>
      <c r="J124" s="727">
        <f>'Oil-based'!AA13</f>
        <v>92.020572851095096</v>
      </c>
    </row>
    <row r="127" spans="1:13">
      <c r="A127" t="s">
        <v>673</v>
      </c>
      <c r="B127" s="107"/>
      <c r="C127" s="108"/>
      <c r="D127" s="108"/>
      <c r="E127" s="108" t="str">
        <f>GridE!C4</f>
        <v>煤电</v>
      </c>
      <c r="F127" s="108" t="str">
        <f>GridE!D4</f>
        <v>气电</v>
      </c>
      <c r="G127" s="108" t="str">
        <f>GridE!E4</f>
        <v>油电</v>
      </c>
      <c r="H127" s="467" t="str">
        <f>GridE!I4</f>
        <v>网电</v>
      </c>
      <c r="I127" s="107"/>
      <c r="J127" s="108"/>
      <c r="K127" s="108" t="str">
        <f>GridE!K3</f>
        <v>东北电网</v>
      </c>
      <c r="L127" s="108" t="str">
        <f>GridE!L3</f>
        <v>华北电网</v>
      </c>
      <c r="M127" s="467" t="str">
        <f>GridE!M3</f>
        <v>南方电网</v>
      </c>
    </row>
    <row r="128" spans="1:13">
      <c r="B128" s="346" t="str">
        <f>B116</f>
        <v>LCA-Coal</v>
      </c>
      <c r="C128" s="476" t="s">
        <v>678</v>
      </c>
      <c r="D128" s="481" t="str">
        <f>D116</f>
        <v>MJ/MJ</v>
      </c>
      <c r="E128" s="481">
        <f>GridE!C6</f>
        <v>3.151540237025412</v>
      </c>
      <c r="F128" s="481">
        <f>GridE!D6</f>
        <v>1.913318608005829E-2</v>
      </c>
      <c r="G128" s="481">
        <f>GridE!E6</f>
        <v>0.20163740767708865</v>
      </c>
      <c r="H128" s="347">
        <f>GridE!I6</f>
        <v>2.4073229729246317</v>
      </c>
      <c r="I128" s="346" t="str">
        <f>C128</f>
        <v>煤炭</v>
      </c>
      <c r="J128" s="481" t="str">
        <f>D128</f>
        <v>MJ/MJ</v>
      </c>
      <c r="K128" s="481">
        <f>GridE!K6</f>
        <v>2.9624478228038873</v>
      </c>
      <c r="L128" s="481">
        <f>GridE!L6</f>
        <v>3.0885094322849036</v>
      </c>
      <c r="M128" s="347">
        <f>GridE!M6</f>
        <v>2.0511011540665178</v>
      </c>
    </row>
    <row r="129" spans="2:13">
      <c r="B129" s="346" t="str">
        <f>B117</f>
        <v>LCA-NG</v>
      </c>
      <c r="C129" s="476" t="s">
        <v>679</v>
      </c>
      <c r="D129" s="481" t="str">
        <f>D117</f>
        <v>MJ/MJ</v>
      </c>
      <c r="E129" s="481">
        <f>GridE!C7</f>
        <v>8.0169281873447261E-3</v>
      </c>
      <c r="F129" s="481">
        <f>GridE!D7</f>
        <v>2.6232099456986799</v>
      </c>
      <c r="G129" s="481">
        <f>GridE!E7</f>
        <v>0.15766941811353696</v>
      </c>
      <c r="H129" s="347">
        <f>GridE!I7</f>
        <v>0.18717839215522458</v>
      </c>
      <c r="I129" s="346" t="str">
        <f t="shared" ref="I129:J136" si="0">C129</f>
        <v>天然气</v>
      </c>
      <c r="J129" s="481" t="str">
        <f t="shared" si="0"/>
        <v>MJ/MJ</v>
      </c>
      <c r="K129" s="481">
        <f>GridE!K7</f>
        <v>7.535912496104042E-3</v>
      </c>
      <c r="L129" s="481">
        <f>GridE!L7</f>
        <v>7.856589623597832E-3</v>
      </c>
      <c r="M129" s="347">
        <f>GridE!M7</f>
        <v>5.4610033217740725E-3</v>
      </c>
    </row>
    <row r="130" spans="2:13">
      <c r="B130" s="346" t="str">
        <f>B118</f>
        <v>LCA-Oil</v>
      </c>
      <c r="C130" s="476" t="s">
        <v>680</v>
      </c>
      <c r="D130" s="481" t="str">
        <f>D118</f>
        <v>MJ/MJ</v>
      </c>
      <c r="E130" s="481">
        <f>GridE!C8</f>
        <v>4.3335789345252521E-2</v>
      </c>
      <c r="F130" s="481">
        <f>GridE!D8</f>
        <v>1.363031661193532E-2</v>
      </c>
      <c r="G130" s="481">
        <f>GridE!E8</f>
        <v>3.6937523850069005</v>
      </c>
      <c r="H130" s="347">
        <f>GridE!I8</f>
        <v>6.8054364602401593E-2</v>
      </c>
      <c r="I130" s="346" t="str">
        <f t="shared" si="0"/>
        <v>石油</v>
      </c>
      <c r="J130" s="481" t="str">
        <f t="shared" si="0"/>
        <v>MJ/MJ</v>
      </c>
      <c r="K130" s="481">
        <f>GridE!K8</f>
        <v>4.0735641984537364E-2</v>
      </c>
      <c r="L130" s="481">
        <f>GridE!L8</f>
        <v>4.2469073558347468E-2</v>
      </c>
      <c r="M130" s="347">
        <f>GridE!M8</f>
        <v>2.8468263074414142E-2</v>
      </c>
    </row>
    <row r="131" spans="2:13">
      <c r="B131" s="346" t="str">
        <f>B119</f>
        <v>LCA-PE</v>
      </c>
      <c r="C131" s="476" t="s">
        <v>681</v>
      </c>
      <c r="D131" s="481" t="str">
        <f>D119</f>
        <v>MJ/MJ</v>
      </c>
      <c r="E131" s="481">
        <f>E128+E129+E130</f>
        <v>3.2028929545580094</v>
      </c>
      <c r="F131" s="481">
        <f>F128+F129+F130</f>
        <v>2.6559734483906734</v>
      </c>
      <c r="G131" s="481">
        <f>G128+G129+G130</f>
        <v>4.0530592107975263</v>
      </c>
      <c r="H131" s="347">
        <f>H128+H129+H130</f>
        <v>2.662555729682258</v>
      </c>
      <c r="I131" s="346" t="str">
        <f t="shared" si="0"/>
        <v>一次能源总计</v>
      </c>
      <c r="J131" s="481" t="str">
        <f t="shared" si="0"/>
        <v>MJ/MJ</v>
      </c>
      <c r="K131" s="481">
        <f>K128+K129+K130</f>
        <v>3.0107193772845284</v>
      </c>
      <c r="L131" s="481">
        <f>L128+L129+L130</f>
        <v>3.1388350954668489</v>
      </c>
      <c r="M131" s="347">
        <f>M128+M129+M130</f>
        <v>2.0850304204627057</v>
      </c>
    </row>
    <row r="132" spans="2:13">
      <c r="B132" s="346"/>
      <c r="C132" s="481"/>
      <c r="D132" s="481"/>
      <c r="E132" s="481"/>
      <c r="F132" s="481"/>
      <c r="G132" s="481"/>
      <c r="H132" s="347"/>
      <c r="I132" s="346"/>
      <c r="J132" s="481"/>
      <c r="K132" s="481"/>
      <c r="L132" s="35"/>
      <c r="M132" s="84"/>
    </row>
    <row r="133" spans="2:13">
      <c r="B133" s="346" t="str">
        <f>B121</f>
        <v>LCA-CO2</v>
      </c>
      <c r="C133" s="476" t="s">
        <v>682</v>
      </c>
      <c r="D133" s="481" t="str">
        <f>D121</f>
        <v>g/MJ</v>
      </c>
      <c r="E133" s="481">
        <f>GridE!C10</f>
        <v>260.89457835667628</v>
      </c>
      <c r="F133" s="481">
        <f>GridE!D10</f>
        <v>150.69570878078</v>
      </c>
      <c r="G133" s="481">
        <f>GridE!E10</f>
        <v>304.11687435522902</v>
      </c>
      <c r="H133" s="347">
        <f>GridE!I10</f>
        <v>0.99442789444789459</v>
      </c>
      <c r="I133" s="346" t="str">
        <f t="shared" si="0"/>
        <v>二氧化碳</v>
      </c>
      <c r="J133" s="481" t="str">
        <f t="shared" si="0"/>
        <v>g/MJ</v>
      </c>
      <c r="K133" s="481">
        <f>GridE!K10</f>
        <v>245.54090365527568</v>
      </c>
      <c r="L133" s="481">
        <f>GridE!L10</f>
        <v>255.77668678954274</v>
      </c>
      <c r="M133" s="347">
        <f>GridE!M10</f>
        <v>171.40647593183957</v>
      </c>
    </row>
    <row r="134" spans="2:13">
      <c r="B134" s="346" t="str">
        <f>B122</f>
        <v>LCA-CH4</v>
      </c>
      <c r="C134" s="476" t="s">
        <v>683</v>
      </c>
      <c r="D134" s="481" t="str">
        <f>D122</f>
        <v>g/MJ</v>
      </c>
      <c r="E134" s="481">
        <f>GridE!C11</f>
        <v>1.28401729931706</v>
      </c>
      <c r="F134" s="481">
        <f>GridE!D11</f>
        <v>0.19713463700632164</v>
      </c>
      <c r="G134" s="481">
        <f>GridE!E11</f>
        <v>0.13752488079674843</v>
      </c>
      <c r="H134" s="347">
        <f>GridE!I11</f>
        <v>0.99442789444789459</v>
      </c>
      <c r="I134" s="346" t="str">
        <f t="shared" si="0"/>
        <v>甲烷</v>
      </c>
      <c r="J134" s="481" t="str">
        <f t="shared" si="0"/>
        <v>g/MJ</v>
      </c>
      <c r="K134" s="481">
        <f>GridE!K11</f>
        <v>1.2069762613580364</v>
      </c>
      <c r="L134" s="481">
        <f>GridE!L11</f>
        <v>1.2583369533307187</v>
      </c>
      <c r="M134" s="347">
        <f>GridE!M11</f>
        <v>0.83461124455608904</v>
      </c>
    </row>
    <row r="135" spans="2:13">
      <c r="B135" s="346" t="str">
        <f>B123</f>
        <v>LCA-N2O</v>
      </c>
      <c r="C135" s="476" t="s">
        <v>684</v>
      </c>
      <c r="D135" s="481" t="str">
        <f>D123</f>
        <v>mg/MJ</v>
      </c>
      <c r="E135" s="481">
        <f>GridE!C12</f>
        <v>4.0617364923745784E-3</v>
      </c>
      <c r="F135" s="481">
        <f>GridE!D12</f>
        <v>4.0097600313530095E-7</v>
      </c>
      <c r="G135" s="481">
        <f>GridE!E12</f>
        <v>1.3227179738686402E-3</v>
      </c>
      <c r="H135" s="347">
        <f>GridE!I12</f>
        <v>3.3408694757104565E-3</v>
      </c>
      <c r="I135" s="346" t="str">
        <f t="shared" si="0"/>
        <v>氧化二氮</v>
      </c>
      <c r="J135" s="481" t="str">
        <f t="shared" si="0"/>
        <v>mg/MJ</v>
      </c>
      <c r="K135" s="481">
        <f>GridE!K12</f>
        <v>3.8180323028321034E-3</v>
      </c>
      <c r="L135" s="481">
        <f>GridE!L12</f>
        <v>3.9805017625270866E-3</v>
      </c>
      <c r="M135" s="347">
        <f>GridE!M12</f>
        <v>2.6401287200434761E-3</v>
      </c>
    </row>
    <row r="136" spans="2:13">
      <c r="B136" s="482" t="str">
        <f>B124</f>
        <v>LCA-GHG</v>
      </c>
      <c r="C136" s="478" t="s">
        <v>685</v>
      </c>
      <c r="D136" s="483" t="str">
        <f>D124</f>
        <v>g/MJ</v>
      </c>
      <c r="E136" s="479">
        <f>GridE!C9</f>
        <v>292.99622123707752</v>
      </c>
      <c r="F136" s="479">
        <f>GridE!D9</f>
        <v>155.62407482542889</v>
      </c>
      <c r="G136" s="479">
        <f>GridE!E9</f>
        <v>307.55539054510393</v>
      </c>
      <c r="H136" s="480">
        <f>GridE!I9</f>
        <v>237.06320573794014</v>
      </c>
      <c r="I136" s="482" t="str">
        <f t="shared" si="0"/>
        <v>GHG合计</v>
      </c>
      <c r="J136" s="483" t="str">
        <f t="shared" si="0"/>
        <v>g/MJ</v>
      </c>
      <c r="K136" s="479">
        <f>GridE!K9</f>
        <v>275.71644796285284</v>
      </c>
      <c r="L136" s="479">
        <f>GridE!L9</f>
        <v>287.23629681233598</v>
      </c>
      <c r="M136" s="480">
        <f>GridE!M9</f>
        <v>192.27254380410039</v>
      </c>
    </row>
    <row r="137" spans="2:13">
      <c r="B137" s="107" t="s">
        <v>674</v>
      </c>
      <c r="C137" s="108"/>
      <c r="D137" s="108"/>
      <c r="E137" s="108"/>
      <c r="F137" s="108"/>
      <c r="G137" s="108"/>
      <c r="H137" s="467"/>
    </row>
    <row r="138" spans="2:13">
      <c r="B138" s="346" t="str">
        <f>GridE!B16</f>
        <v>燃料制备</v>
      </c>
      <c r="C138" s="481"/>
      <c r="D138" s="481" t="str">
        <f>D136</f>
        <v>g/MJ</v>
      </c>
      <c r="E138" s="484">
        <f>GridE!C16</f>
        <v>49.723315545881988</v>
      </c>
      <c r="F138" s="484">
        <f>GridE!D16</f>
        <v>21.79722301652297</v>
      </c>
      <c r="G138" s="484">
        <f>GridE!E16</f>
        <v>52.031931140025279</v>
      </c>
      <c r="H138" s="485">
        <f>GridE!I16</f>
        <v>40.168851266382873</v>
      </c>
    </row>
    <row r="139" spans="2:13">
      <c r="B139" s="346" t="str">
        <f>GridE!B17</f>
        <v>燃料运输</v>
      </c>
      <c r="C139" s="481"/>
      <c r="D139" s="481" t="str">
        <f>D138</f>
        <v>g/MJ</v>
      </c>
      <c r="E139" s="484">
        <f>GridE!C17</f>
        <v>3.3149283743946807</v>
      </c>
      <c r="F139" s="484">
        <f>GridE!D17</f>
        <v>2.3597237812242624</v>
      </c>
      <c r="G139" s="484">
        <f>GridE!E17</f>
        <v>1.9494843605153587</v>
      </c>
      <c r="H139" s="485">
        <f>GridE!I17</f>
        <v>2.6641386985419016</v>
      </c>
    </row>
    <row r="140" spans="2:13">
      <c r="B140" s="482" t="str">
        <f>GridE!B18</f>
        <v>燃料燃烧</v>
      </c>
      <c r="C140" s="483"/>
      <c r="D140" s="483" t="str">
        <f>D138</f>
        <v>g/MJ</v>
      </c>
      <c r="E140" s="486">
        <f>GridE!C18</f>
        <v>239.95797731680085</v>
      </c>
      <c r="F140" s="486">
        <f>GridE!D18</f>
        <v>131.46712802768164</v>
      </c>
      <c r="G140" s="486">
        <f>GridE!E18</f>
        <v>253.5739750445633</v>
      </c>
      <c r="H140" s="487">
        <f>GridE!I18</f>
        <v>194.23021577301535</v>
      </c>
    </row>
    <row r="141" spans="2:13">
      <c r="B141" s="481"/>
      <c r="C141" s="481"/>
      <c r="D141" s="481"/>
      <c r="E141" s="484"/>
      <c r="F141" s="484"/>
      <c r="G141" s="484"/>
      <c r="H141" s="484"/>
    </row>
    <row r="142" spans="2:13">
      <c r="B142" s="698" t="s">
        <v>1056</v>
      </c>
      <c r="C142" s="481"/>
      <c r="D142" s="481"/>
      <c r="E142" s="484"/>
      <c r="F142" s="484"/>
      <c r="G142" s="484"/>
      <c r="H142" s="484"/>
    </row>
    <row r="143" spans="2:13">
      <c r="B143" s="344"/>
      <c r="C143" s="696"/>
      <c r="D143" s="696"/>
      <c r="E143" s="696" t="str">
        <f>GridE!A21</f>
        <v>原料开采处理</v>
      </c>
      <c r="F143" s="696" t="str">
        <f>GridE!A32</f>
        <v>原料运输</v>
      </c>
      <c r="G143" s="696" t="str">
        <f>GridE!A43</f>
        <v>燃料制备与燃烧</v>
      </c>
      <c r="I143" s="345" t="str">
        <f>H227</f>
        <v>合计</v>
      </c>
    </row>
    <row r="144" spans="2:13">
      <c r="B144" s="346" t="str">
        <f t="shared" ref="B144:D147" si="1">B228</f>
        <v>LCA-Coal</v>
      </c>
      <c r="C144" s="481" t="str">
        <f t="shared" si="1"/>
        <v>煤炭</v>
      </c>
      <c r="D144" s="481" t="str">
        <f t="shared" si="1"/>
        <v>MJ/MJ</v>
      </c>
      <c r="E144" s="481">
        <f>GridE!C22</f>
        <v>0.20639522372894564</v>
      </c>
      <c r="F144" s="481">
        <f>GridE!C33</f>
        <v>6.9067809405863202E-3</v>
      </c>
      <c r="G144" s="481">
        <f>GridE!C44</f>
        <v>2.9382382323558796</v>
      </c>
      <c r="I144" s="347">
        <f>E144+F144+G144</f>
        <v>3.1515402370254115</v>
      </c>
    </row>
    <row r="145" spans="2:9">
      <c r="B145" s="346" t="str">
        <f t="shared" si="1"/>
        <v>LCA-NG</v>
      </c>
      <c r="C145" s="481" t="str">
        <f t="shared" si="1"/>
        <v>天然气</v>
      </c>
      <c r="D145" s="481" t="str">
        <f t="shared" si="1"/>
        <v>MJ/MJ</v>
      </c>
      <c r="E145" s="481">
        <f>GridE!C23</f>
        <v>6.1382096990411535E-3</v>
      </c>
      <c r="F145" s="481">
        <f>GridE!C34</f>
        <v>1.8787184883035741E-3</v>
      </c>
      <c r="G145" s="481">
        <f>GridE!C45</f>
        <v>0</v>
      </c>
      <c r="I145" s="347">
        <f>E145+F145+G145</f>
        <v>8.0169281873447278E-3</v>
      </c>
    </row>
    <row r="146" spans="2:9">
      <c r="B146" s="346" t="str">
        <f t="shared" si="1"/>
        <v>LCA-Oil</v>
      </c>
      <c r="C146" s="481" t="str">
        <f t="shared" si="1"/>
        <v>石油</v>
      </c>
      <c r="D146" s="481" t="str">
        <f t="shared" si="1"/>
        <v>MJ/MJ</v>
      </c>
      <c r="E146" s="481">
        <f>GridE!C24</f>
        <v>8.0590804043520446E-3</v>
      </c>
      <c r="F146" s="481">
        <f>GridE!C35</f>
        <v>3.5276708940900479E-2</v>
      </c>
      <c r="G146" s="481">
        <f>GridE!C46</f>
        <v>0</v>
      </c>
      <c r="I146" s="347">
        <f>E146+F146+G146</f>
        <v>4.3335789345252521E-2</v>
      </c>
    </row>
    <row r="147" spans="2:9">
      <c r="B147" s="346" t="str">
        <f t="shared" si="1"/>
        <v>LCA-PE</v>
      </c>
      <c r="C147" s="481" t="str">
        <f t="shared" si="1"/>
        <v>一次能源总计</v>
      </c>
      <c r="D147" s="481" t="str">
        <f t="shared" si="1"/>
        <v>MJ/MJ</v>
      </c>
      <c r="E147" s="481">
        <f>E144+E145+E146</f>
        <v>0.22059251383233885</v>
      </c>
      <c r="F147" s="481">
        <f t="shared" ref="F147:G147" si="2">F144+F145+F146</f>
        <v>4.406220836979037E-2</v>
      </c>
      <c r="G147" s="481">
        <f t="shared" si="2"/>
        <v>2.9382382323558796</v>
      </c>
      <c r="I147" s="347">
        <f>E147+F147+G147</f>
        <v>3.2028929545580089</v>
      </c>
    </row>
    <row r="148" spans="2:9">
      <c r="B148" s="346"/>
      <c r="C148" s="481"/>
      <c r="D148" s="481"/>
      <c r="E148" s="481"/>
      <c r="F148" s="481"/>
      <c r="G148" s="481"/>
      <c r="I148" s="347"/>
    </row>
    <row r="149" spans="2:9">
      <c r="B149" s="346" t="str">
        <f t="shared" ref="B149:D152" si="3">B233</f>
        <v>LCA-CO2</v>
      </c>
      <c r="C149" s="481" t="str">
        <f t="shared" si="3"/>
        <v>二氧化碳</v>
      </c>
      <c r="D149" s="481" t="str">
        <f t="shared" si="3"/>
        <v>g/MJ</v>
      </c>
      <c r="E149" s="481">
        <f>GridE!C27</f>
        <v>17.786121827287008</v>
      </c>
      <c r="F149" s="481">
        <f>GridE!C38</f>
        <v>3.2248107633905629</v>
      </c>
      <c r="G149" s="481">
        <f>GridE!C49</f>
        <v>239.88364576599869</v>
      </c>
      <c r="I149" s="347">
        <f>E149+F149+G149</f>
        <v>260.89457835667628</v>
      </c>
    </row>
    <row r="150" spans="2:9">
      <c r="B150" s="346" t="str">
        <f t="shared" si="3"/>
        <v>LCA-CH4</v>
      </c>
      <c r="C150" s="481" t="str">
        <f t="shared" si="3"/>
        <v>甲烷</v>
      </c>
      <c r="D150" s="481" t="str">
        <f t="shared" si="3"/>
        <v>g/MJ</v>
      </c>
      <c r="E150" s="481">
        <f>GridE!C28</f>
        <v>1.2774831563704041</v>
      </c>
      <c r="F150" s="481">
        <f>GridE!C39</f>
        <v>3.5959047143003012E-3</v>
      </c>
      <c r="G150" s="481">
        <f>GridE!C50</f>
        <v>2.9382382323558795E-3</v>
      </c>
      <c r="I150" s="347">
        <f>E150+F150+G150</f>
        <v>1.2840172993170604</v>
      </c>
    </row>
    <row r="151" spans="2:9">
      <c r="B151" s="346" t="str">
        <f t="shared" si="3"/>
        <v>LCA-N2O</v>
      </c>
      <c r="C151" s="481" t="str">
        <f t="shared" si="3"/>
        <v>氧化二氮</v>
      </c>
      <c r="D151" s="481" t="str">
        <f t="shared" si="3"/>
        <v>mg/MJ</v>
      </c>
      <c r="E151" s="481">
        <f>GridE!C29</f>
        <v>3.8526622441360271E-4</v>
      </c>
      <c r="F151" s="481">
        <f>GridE!C40</f>
        <v>7.3823203560509636E-4</v>
      </c>
      <c r="G151" s="481">
        <f>GridE!C51</f>
        <v>2.9382382323558795E-3</v>
      </c>
      <c r="I151" s="347">
        <f>E151+F151+G151</f>
        <v>4.0617364923745784E-3</v>
      </c>
    </row>
    <row r="152" spans="2:9">
      <c r="B152" s="482" t="str">
        <f t="shared" si="3"/>
        <v>LCA-GHG</v>
      </c>
      <c r="C152" s="483" t="str">
        <f t="shared" si="3"/>
        <v>GHG合计</v>
      </c>
      <c r="D152" s="483" t="str">
        <f t="shared" si="3"/>
        <v>g/MJ</v>
      </c>
      <c r="E152" s="103">
        <f>E149+25*E150+0.298*E151</f>
        <v>49.723315545881988</v>
      </c>
      <c r="F152" s="103">
        <f t="shared" ref="F152:G152" si="4">F149+25*F150+0.298*F151</f>
        <v>3.3149283743946807</v>
      </c>
      <c r="G152" s="103">
        <f t="shared" si="4"/>
        <v>239.95797731680082</v>
      </c>
      <c r="I152" s="699">
        <f>I149+25*I150+0.298*I151</f>
        <v>292.99622123707752</v>
      </c>
    </row>
    <row r="153" spans="2:9">
      <c r="E153" s="481"/>
      <c r="F153" s="481"/>
      <c r="G153" s="481"/>
      <c r="H153" s="481"/>
    </row>
    <row r="154" spans="2:9">
      <c r="B154" s="698" t="s">
        <v>1057</v>
      </c>
      <c r="C154" s="481"/>
      <c r="D154" s="481"/>
      <c r="E154" s="484"/>
      <c r="F154" s="484"/>
      <c r="G154" s="484"/>
      <c r="H154" s="484"/>
    </row>
    <row r="155" spans="2:9">
      <c r="B155" s="344"/>
      <c r="C155" s="696"/>
      <c r="D155" s="696"/>
      <c r="E155" s="696" t="str">
        <f>E143</f>
        <v>原料开采处理</v>
      </c>
      <c r="F155" s="696" t="str">
        <f>F143</f>
        <v>原料运输</v>
      </c>
      <c r="G155" s="696" t="str">
        <f>G143</f>
        <v>燃料制备与燃烧</v>
      </c>
      <c r="I155" s="345" t="str">
        <f>I143</f>
        <v>合计</v>
      </c>
    </row>
    <row r="156" spans="2:9">
      <c r="B156" s="346" t="str">
        <f>B144</f>
        <v>LCA-Coal</v>
      </c>
      <c r="C156" s="346" t="str">
        <f t="shared" ref="C156:D156" si="5">C144</f>
        <v>煤炭</v>
      </c>
      <c r="D156" s="346" t="str">
        <f t="shared" si="5"/>
        <v>MJ/MJ</v>
      </c>
      <c r="E156" s="481">
        <f>GridE!D22</f>
        <v>1.1456158166801596E-2</v>
      </c>
      <c r="F156" s="481">
        <f>GridE!D33</f>
        <v>7.6770279132566902E-3</v>
      </c>
      <c r="G156" s="481">
        <f>GridE!D44</f>
        <v>0</v>
      </c>
      <c r="I156" s="347">
        <f>E156+F156+G156</f>
        <v>1.9133186080058286E-2</v>
      </c>
    </row>
    <row r="157" spans="2:9">
      <c r="B157" s="346" t="str">
        <f t="shared" ref="B157:D159" si="6">B145</f>
        <v>LCA-NG</v>
      </c>
      <c r="C157" s="346" t="str">
        <f t="shared" si="6"/>
        <v>天然气</v>
      </c>
      <c r="D157" s="346" t="str">
        <f t="shared" si="6"/>
        <v>MJ/MJ</v>
      </c>
      <c r="E157" s="481">
        <f>GridE!D23</f>
        <v>0.26663807922321575</v>
      </c>
      <c r="F157" s="481">
        <f>GridE!D34</f>
        <v>2.6465730140953984E-2</v>
      </c>
      <c r="G157" s="481">
        <f>GridE!D45</f>
        <v>2.3301061363345097</v>
      </c>
      <c r="I157" s="347">
        <f>E157+F157+G157</f>
        <v>2.6232099456986795</v>
      </c>
    </row>
    <row r="158" spans="2:9">
      <c r="B158" s="346" t="str">
        <f t="shared" si="6"/>
        <v>LCA-Oil</v>
      </c>
      <c r="C158" s="346" t="str">
        <f t="shared" si="6"/>
        <v>石油</v>
      </c>
      <c r="D158" s="346" t="str">
        <f t="shared" si="6"/>
        <v>MJ/MJ</v>
      </c>
      <c r="E158" s="481">
        <f>GridE!D24</f>
        <v>1.2252146494616343E-2</v>
      </c>
      <c r="F158" s="481">
        <f>GridE!D35</f>
        <v>1.3781701173189787E-3</v>
      </c>
      <c r="G158" s="481">
        <f>GridE!D46</f>
        <v>0</v>
      </c>
      <c r="I158" s="347">
        <f>E158+F158+G158</f>
        <v>1.3630316611935322E-2</v>
      </c>
    </row>
    <row r="159" spans="2:9">
      <c r="B159" s="346" t="str">
        <f t="shared" si="6"/>
        <v>LCA-PE</v>
      </c>
      <c r="C159" s="346" t="str">
        <f t="shared" si="6"/>
        <v>一次能源总计</v>
      </c>
      <c r="D159" s="346" t="str">
        <f t="shared" si="6"/>
        <v>MJ/MJ</v>
      </c>
      <c r="E159" s="481">
        <f>E156+E157+E158</f>
        <v>0.29034638388463374</v>
      </c>
      <c r="F159" s="481">
        <f t="shared" ref="F159" si="7">F156+F157+F158</f>
        <v>3.5520928171529652E-2</v>
      </c>
      <c r="G159" s="481">
        <f t="shared" ref="G159" si="8">G156+G157+G158</f>
        <v>2.3301061363345097</v>
      </c>
      <c r="I159" s="347">
        <f>E159+F159+G159</f>
        <v>2.655973448390673</v>
      </c>
    </row>
    <row r="160" spans="2:9">
      <c r="B160" s="346"/>
      <c r="C160" s="481"/>
      <c r="D160" s="481"/>
      <c r="E160" s="481"/>
      <c r="F160" s="481"/>
      <c r="G160" s="481"/>
      <c r="I160" s="347"/>
    </row>
    <row r="161" spans="2:9">
      <c r="B161" s="346" t="str">
        <f>B149</f>
        <v>LCA-CO2</v>
      </c>
      <c r="C161" s="346" t="str">
        <f t="shared" ref="C161:D161" si="9">C149</f>
        <v>二氧化碳</v>
      </c>
      <c r="D161" s="346" t="str">
        <f t="shared" si="9"/>
        <v>g/MJ</v>
      </c>
      <c r="E161" s="481">
        <f>GridE!D27</f>
        <v>16.995738079246507</v>
      </c>
      <c r="F161" s="481">
        <f>GridE!D38</f>
        <v>2.2328426738518337</v>
      </c>
      <c r="G161" s="481">
        <f>GridE!D49</f>
        <v>131.46712802768164</v>
      </c>
      <c r="I161" s="347">
        <f>E161+F161+G161</f>
        <v>150.69570878077997</v>
      </c>
    </row>
    <row r="162" spans="2:9">
      <c r="B162" s="346" t="str">
        <f t="shared" ref="B162:D164" si="10">B150</f>
        <v>LCA-CH4</v>
      </c>
      <c r="C162" s="346" t="str">
        <f t="shared" si="10"/>
        <v>甲烷</v>
      </c>
      <c r="D162" s="346" t="str">
        <f t="shared" si="10"/>
        <v>g/MJ</v>
      </c>
      <c r="E162" s="481">
        <f>GridE!D28</f>
        <v>0.19205939323433849</v>
      </c>
      <c r="F162" s="481">
        <f>GridE!D39</f>
        <v>5.075243771983139E-3</v>
      </c>
      <c r="G162" s="481">
        <f>GridE!D50</f>
        <v>0</v>
      </c>
      <c r="I162" s="347">
        <f>E162+F162+G162</f>
        <v>0.19713463700632164</v>
      </c>
    </row>
    <row r="163" spans="2:9">
      <c r="B163" s="346" t="str">
        <f t="shared" si="10"/>
        <v>LCA-N2O</v>
      </c>
      <c r="C163" s="346" t="str">
        <f t="shared" si="10"/>
        <v>氧化二氮</v>
      </c>
      <c r="D163" s="346" t="str">
        <f t="shared" si="10"/>
        <v>mg/MJ</v>
      </c>
      <c r="E163" s="481">
        <f>GridE!D29</f>
        <v>3.5710737929511858E-7</v>
      </c>
      <c r="F163" s="481">
        <f>GridE!D40</f>
        <v>4.386862384018234E-8</v>
      </c>
      <c r="G163" s="481">
        <f>GridE!D51</f>
        <v>0</v>
      </c>
      <c r="I163" s="347">
        <f>E163+F163+G163</f>
        <v>4.009760031353009E-7</v>
      </c>
    </row>
    <row r="164" spans="2:9">
      <c r="B164" s="346" t="str">
        <f t="shared" si="10"/>
        <v>LCA-GHG</v>
      </c>
      <c r="C164" s="346" t="str">
        <f t="shared" si="10"/>
        <v>GHG合计</v>
      </c>
      <c r="D164" s="346" t="str">
        <f t="shared" si="10"/>
        <v>g/MJ</v>
      </c>
      <c r="E164" s="103">
        <f>E161+25*E162+0.298*E163</f>
        <v>21.79722301652297</v>
      </c>
      <c r="F164" s="103">
        <f t="shared" ref="F164" si="11">F161+25*F162+0.298*F163</f>
        <v>2.359723781224262</v>
      </c>
      <c r="G164" s="103">
        <f t="shared" ref="G164" si="12">G161+25*G162+0.298*G163</f>
        <v>131.46712802768164</v>
      </c>
      <c r="I164" s="699">
        <f t="shared" ref="I164" si="13">I161+25*I162+0.298*I163</f>
        <v>155.62407482542883</v>
      </c>
    </row>
    <row r="166" spans="2:9">
      <c r="B166" s="698" t="s">
        <v>1058</v>
      </c>
      <c r="C166" s="481"/>
      <c r="D166" s="481"/>
      <c r="E166" s="484"/>
      <c r="F166" s="484"/>
      <c r="G166" s="484"/>
      <c r="H166" s="484"/>
    </row>
    <row r="167" spans="2:9">
      <c r="B167" s="344"/>
      <c r="C167" s="696"/>
      <c r="D167" s="696"/>
      <c r="E167" s="696" t="str">
        <f>E155</f>
        <v>原料开采处理</v>
      </c>
      <c r="F167" s="696" t="str">
        <f>F155</f>
        <v>原料运输</v>
      </c>
      <c r="G167" s="696" t="str">
        <f>G155</f>
        <v>燃料制备与燃烧</v>
      </c>
      <c r="I167" s="345" t="str">
        <f>I155</f>
        <v>合计</v>
      </c>
    </row>
    <row r="168" spans="2:9">
      <c r="B168" s="346" t="str">
        <f>B156</f>
        <v>LCA-Coal</v>
      </c>
      <c r="C168" s="346" t="str">
        <f t="shared" ref="C168:D168" si="14">C156</f>
        <v>煤炭</v>
      </c>
      <c r="D168" s="346" t="str">
        <f t="shared" si="14"/>
        <v>MJ/MJ</v>
      </c>
      <c r="E168" s="481">
        <f>GridE!E22</f>
        <v>0.11473302941201838</v>
      </c>
      <c r="F168" s="481">
        <f>GridE!E33</f>
        <v>2.3173613739614476E-2</v>
      </c>
      <c r="G168" s="481">
        <f>GridE!E44</f>
        <v>6.3730764525455785E-2</v>
      </c>
      <c r="I168" s="347">
        <f>E168+F168+G168</f>
        <v>0.20163740767708865</v>
      </c>
    </row>
    <row r="169" spans="2:9">
      <c r="B169" s="346" t="str">
        <f t="shared" ref="B169:D169" si="15">B157</f>
        <v>LCA-NG</v>
      </c>
      <c r="C169" s="346" t="str">
        <f t="shared" si="15"/>
        <v>天然气</v>
      </c>
      <c r="D169" s="346" t="str">
        <f t="shared" si="15"/>
        <v>MJ/MJ</v>
      </c>
      <c r="E169" s="481">
        <f>GridE!E23</f>
        <v>0.13664718367550244</v>
      </c>
      <c r="F169" s="481">
        <f>GridE!E34</f>
        <v>2.8885533695288488E-3</v>
      </c>
      <c r="G169" s="481">
        <f>GridE!E45</f>
        <v>1.8133681068505662E-2</v>
      </c>
      <c r="I169" s="347">
        <f>E169+F169+G169</f>
        <v>0.15766941811353694</v>
      </c>
    </row>
    <row r="170" spans="2:9">
      <c r="B170" s="346" t="str">
        <f t="shared" ref="B170:D170" si="16">B158</f>
        <v>LCA-Oil</v>
      </c>
      <c r="C170" s="346" t="str">
        <f t="shared" si="16"/>
        <v>石油</v>
      </c>
      <c r="D170" s="346" t="str">
        <f t="shared" si="16"/>
        <v>MJ/MJ</v>
      </c>
      <c r="E170" s="481">
        <f>GridE!E24</f>
        <v>0.12296045305920826</v>
      </c>
      <c r="F170" s="481">
        <f>GridE!E35</f>
        <v>3.0369868088536194E-2</v>
      </c>
      <c r="G170" s="481">
        <f>GridE!E46</f>
        <v>3.5404220638591553</v>
      </c>
      <c r="I170" s="347">
        <f>E170+F170+G170</f>
        <v>3.6937523850068996</v>
      </c>
    </row>
    <row r="171" spans="2:9">
      <c r="B171" s="346" t="str">
        <f t="shared" ref="B171:D171" si="17">B159</f>
        <v>LCA-PE</v>
      </c>
      <c r="C171" s="346" t="str">
        <f t="shared" si="17"/>
        <v>一次能源总计</v>
      </c>
      <c r="D171" s="346" t="str">
        <f t="shared" si="17"/>
        <v>MJ/MJ</v>
      </c>
      <c r="E171" s="481">
        <f>E168+E169+E170</f>
        <v>0.37434066614672906</v>
      </c>
      <c r="F171" s="481">
        <f t="shared" ref="F171" si="18">F168+F169+F170</f>
        <v>5.6432035197679517E-2</v>
      </c>
      <c r="G171" s="481">
        <f t="shared" ref="G171" si="19">G168+G169+G170</f>
        <v>3.6222865094531169</v>
      </c>
      <c r="I171" s="347">
        <f>E171+F171+G171</f>
        <v>4.0530592107975254</v>
      </c>
    </row>
    <row r="172" spans="2:9">
      <c r="B172" s="346"/>
      <c r="C172" s="481"/>
      <c r="D172" s="481"/>
      <c r="E172" s="481"/>
      <c r="F172" s="481"/>
      <c r="G172" s="481"/>
      <c r="I172" s="347"/>
    </row>
    <row r="173" spans="2:9">
      <c r="B173" s="346" t="str">
        <f>B161</f>
        <v>LCA-CO2</v>
      </c>
      <c r="C173" s="346" t="str">
        <f t="shared" ref="C173:D173" si="20">C161</f>
        <v>二氧化碳</v>
      </c>
      <c r="D173" s="346" t="str">
        <f t="shared" si="20"/>
        <v>g/MJ</v>
      </c>
      <c r="E173" s="481">
        <f>GridE!E27</f>
        <v>25.830283575859315</v>
      </c>
      <c r="F173" s="481">
        <f>GridE!E38</f>
        <v>4.3431752813248474</v>
      </c>
      <c r="G173" s="481">
        <f>GridE!E49</f>
        <v>273.94341549804489</v>
      </c>
      <c r="I173" s="347">
        <f>E173+F173+G173</f>
        <v>304.11687435522907</v>
      </c>
    </row>
    <row r="174" spans="2:9">
      <c r="B174" s="346" t="str">
        <f t="shared" ref="B174:D174" si="21">B162</f>
        <v>LCA-CH4</v>
      </c>
      <c r="C174" s="346" t="str">
        <f t="shared" si="21"/>
        <v>甲烷</v>
      </c>
      <c r="D174" s="346" t="str">
        <f t="shared" si="21"/>
        <v>g/MJ</v>
      </c>
      <c r="E174" s="481">
        <f>GridE!E28</f>
        <v>9.1312552703040312E-2</v>
      </c>
      <c r="F174" s="481">
        <f>GridE!E39</f>
        <v>9.9840146924947276E-3</v>
      </c>
      <c r="G174" s="481">
        <f>GridE!E50</f>
        <v>3.6228313401213366E-2</v>
      </c>
      <c r="I174" s="347">
        <f>E174+F174+G174</f>
        <v>0.13752488079674841</v>
      </c>
    </row>
    <row r="175" spans="2:9">
      <c r="B175" s="346" t="str">
        <f t="shared" ref="B175:D175" si="22">B163</f>
        <v>LCA-N2O</v>
      </c>
      <c r="C175" s="346" t="str">
        <f t="shared" si="22"/>
        <v>氧化二氮</v>
      </c>
      <c r="D175" s="346" t="str">
        <f t="shared" si="22"/>
        <v>mg/MJ</v>
      </c>
      <c r="E175" s="481">
        <f>GridE!E29</f>
        <v>1.0443112730545781E-3</v>
      </c>
      <c r="F175" s="481">
        <f>GridE!E40</f>
        <v>7.0175320115387375E-5</v>
      </c>
      <c r="G175" s="481">
        <f>GridE!E51</f>
        <v>2.0823138069867473E-4</v>
      </c>
      <c r="I175" s="347">
        <f>E175+F175+G175</f>
        <v>1.3227179738686402E-3</v>
      </c>
    </row>
    <row r="176" spans="2:9">
      <c r="B176" s="346" t="str">
        <f t="shared" ref="B176:D176" si="23">B164</f>
        <v>LCA-GHG</v>
      </c>
      <c r="C176" s="346" t="str">
        <f t="shared" si="23"/>
        <v>GHG合计</v>
      </c>
      <c r="D176" s="346" t="str">
        <f t="shared" si="23"/>
        <v>g/MJ</v>
      </c>
      <c r="E176" s="103">
        <f>E173+25*E174+0.298*E175</f>
        <v>28.113408598194695</v>
      </c>
      <c r="F176" s="103">
        <f t="shared" ref="F176" si="24">F173+25*F174+0.298*F175</f>
        <v>4.5927965608826096</v>
      </c>
      <c r="G176" s="103">
        <f t="shared" ref="G176" si="25">G173+25*G174+0.298*G175</f>
        <v>274.84918538602665</v>
      </c>
      <c r="I176" s="699">
        <f t="shared" ref="I176" si="26">I173+25*I174+0.298*I175</f>
        <v>307.55539054510399</v>
      </c>
    </row>
    <row r="178" spans="2:9">
      <c r="B178" s="698" t="s">
        <v>1059</v>
      </c>
      <c r="C178" s="481"/>
      <c r="D178" s="481"/>
      <c r="E178" s="484"/>
      <c r="F178" s="484"/>
      <c r="G178" s="484"/>
      <c r="H178" s="484"/>
    </row>
    <row r="179" spans="2:9">
      <c r="B179" s="344"/>
      <c r="C179" s="696"/>
      <c r="D179" s="696"/>
      <c r="E179" s="696" t="str">
        <f>E167</f>
        <v>原料开采处理</v>
      </c>
      <c r="F179" s="696" t="str">
        <f>F167</f>
        <v>原料运输</v>
      </c>
      <c r="G179" s="696" t="str">
        <f>G167</f>
        <v>燃料制备与燃烧</v>
      </c>
      <c r="I179" s="345" t="str">
        <f>I167</f>
        <v>合计</v>
      </c>
    </row>
    <row r="180" spans="2:9">
      <c r="B180" s="346" t="str">
        <f>B168</f>
        <v>LCA-Coal</v>
      </c>
      <c r="C180" s="346" t="str">
        <f t="shared" ref="C180:D180" si="27">C168</f>
        <v>煤炭</v>
      </c>
      <c r="D180" s="346" t="str">
        <f t="shared" si="27"/>
        <v>MJ/MJ</v>
      </c>
      <c r="E180" s="481">
        <f>GridE!I22</f>
        <v>0.16746796184346943</v>
      </c>
      <c r="F180" s="481">
        <f>GridE!I33</f>
        <v>6.0031957761155002E-3</v>
      </c>
      <c r="G180" s="481">
        <f>I180-E180-F180</f>
        <v>2.2338518153050466</v>
      </c>
      <c r="I180" s="347">
        <f>'LC factor'!B12</f>
        <v>2.4073229729246317</v>
      </c>
    </row>
    <row r="181" spans="2:9">
      <c r="B181" s="346" t="str">
        <f t="shared" ref="B181:D181" si="28">B169</f>
        <v>LCA-NG</v>
      </c>
      <c r="C181" s="346" t="str">
        <f t="shared" si="28"/>
        <v>天然气</v>
      </c>
      <c r="D181" s="346" t="str">
        <f t="shared" si="28"/>
        <v>MJ/MJ</v>
      </c>
      <c r="E181" s="481">
        <f>GridE!I23</f>
        <v>9.2428218296535178E-3</v>
      </c>
      <c r="F181" s="481">
        <f>GridE!I34</f>
        <v>1.74210758076936E-3</v>
      </c>
      <c r="G181" s="481">
        <f>I181-E181-F181</f>
        <v>0.17619346274480169</v>
      </c>
      <c r="I181" s="347">
        <f>'LC factor'!C12</f>
        <v>0.18717839215522458</v>
      </c>
    </row>
    <row r="182" spans="2:9">
      <c r="B182" s="346" t="str">
        <f t="shared" ref="B182:D182" si="29">B170</f>
        <v>LCA-Oil</v>
      </c>
      <c r="C182" s="346" t="str">
        <f t="shared" si="29"/>
        <v>石油</v>
      </c>
      <c r="D182" s="346" t="str">
        <f t="shared" si="29"/>
        <v>MJ/MJ</v>
      </c>
      <c r="E182" s="481">
        <f>GridE!I24</f>
        <v>8.7543765844140496E-3</v>
      </c>
      <c r="F182" s="481">
        <f>GridE!I35</f>
        <v>2.881294867807617E-2</v>
      </c>
      <c r="G182" s="481">
        <f>I182-E182-F182</f>
        <v>3.048703933991137E-2</v>
      </c>
      <c r="I182" s="347">
        <f>'LC factor'!D12</f>
        <v>6.8054364602401593E-2</v>
      </c>
    </row>
    <row r="183" spans="2:9">
      <c r="B183" s="346" t="str">
        <f t="shared" ref="B183:D183" si="30">B171</f>
        <v>LCA-PE</v>
      </c>
      <c r="C183" s="346" t="str">
        <f t="shared" si="30"/>
        <v>一次能源总计</v>
      </c>
      <c r="D183" s="346" t="str">
        <f t="shared" si="30"/>
        <v>MJ/MJ</v>
      </c>
      <c r="E183" s="481">
        <f>E180+E181+E182</f>
        <v>0.18546516025753701</v>
      </c>
      <c r="F183" s="481">
        <f t="shared" ref="F183" si="31">F180+F181+F182</f>
        <v>3.6558252034961033E-2</v>
      </c>
      <c r="G183" s="481">
        <f>I183-E183-F183</f>
        <v>2.44053231738976</v>
      </c>
      <c r="I183" s="347">
        <f>I180+I181+I182</f>
        <v>2.662555729682258</v>
      </c>
    </row>
    <row r="184" spans="2:9">
      <c r="B184" s="346"/>
      <c r="C184" s="481"/>
      <c r="D184" s="481"/>
      <c r="E184" s="481"/>
      <c r="F184" s="481"/>
      <c r="G184" s="481"/>
      <c r="I184" s="347"/>
    </row>
    <row r="185" spans="2:9">
      <c r="B185" s="346" t="str">
        <f>B173</f>
        <v>LCA-CO2</v>
      </c>
      <c r="C185" s="346" t="str">
        <f t="shared" ref="C185:D185" si="32">C173</f>
        <v>二氧化碳</v>
      </c>
      <c r="D185" s="346" t="str">
        <f t="shared" si="32"/>
        <v>g/MJ</v>
      </c>
      <c r="E185" s="481">
        <f>GridE!I27</f>
        <v>14.830598854577087</v>
      </c>
      <c r="F185" s="481">
        <f>GridE!I38</f>
        <v>2.6768804752566511</v>
      </c>
      <c r="G185" s="481">
        <f>GridE!I49</f>
        <v>197.99805163372352</v>
      </c>
      <c r="I185" s="347">
        <f>'LC factor'!L12</f>
        <v>212.201512797639</v>
      </c>
    </row>
    <row r="186" spans="2:9">
      <c r="B186" s="346" t="str">
        <f t="shared" ref="B186:D186" si="33">B174</f>
        <v>LCA-CH4</v>
      </c>
      <c r="C186" s="346" t="str">
        <f t="shared" si="33"/>
        <v>甲烷</v>
      </c>
      <c r="D186" s="346" t="str">
        <f t="shared" si="33"/>
        <v>g/MJ</v>
      </c>
      <c r="E186" s="481">
        <f>I186-F186-G186</f>
        <v>0.98832669733553236</v>
      </c>
      <c r="F186" s="481">
        <f>GridE!I39</f>
        <v>3.0955586470233286E-3</v>
      </c>
      <c r="G186" s="481">
        <f>GridE!I50</f>
        <v>3.0056384653388999E-3</v>
      </c>
      <c r="I186" s="347">
        <f>'LC factor'!M12</f>
        <v>0.99442789444789459</v>
      </c>
    </row>
    <row r="187" spans="2:9">
      <c r="B187" s="346" t="str">
        <f t="shared" ref="B187:D187" si="34">B175</f>
        <v>LCA-N2O</v>
      </c>
      <c r="C187" s="346" t="str">
        <f t="shared" si="34"/>
        <v>氧化二氮</v>
      </c>
      <c r="D187" s="346" t="str">
        <f t="shared" si="34"/>
        <v>mg/MJ</v>
      </c>
      <c r="E187" s="481">
        <f>GridE!I29</f>
        <v>3.2739834842193324E-4</v>
      </c>
      <c r="F187" s="481">
        <f>GridE!I40</f>
        <v>5.9258732336212613E-4</v>
      </c>
      <c r="G187" s="481">
        <f>GridE!I51</f>
        <v>2.3572769889696355E-3</v>
      </c>
      <c r="I187" s="347">
        <f>'LC factor'!N12</f>
        <v>3.3408694757104565E-3</v>
      </c>
    </row>
    <row r="188" spans="2:9">
      <c r="B188" s="346" t="str">
        <f t="shared" ref="B188:D188" si="35">B176</f>
        <v>LCA-GHG</v>
      </c>
      <c r="C188" s="346" t="str">
        <f t="shared" si="35"/>
        <v>GHG合计</v>
      </c>
      <c r="D188" s="346" t="str">
        <f t="shared" si="35"/>
        <v>g/MJ</v>
      </c>
      <c r="E188" s="103">
        <f>E185+25*E186+0.298*E187</f>
        <v>39.538863852673224</v>
      </c>
      <c r="F188" s="103">
        <f t="shared" ref="F188" si="36">F185+25*F186+0.298*F187</f>
        <v>2.7544460324545961</v>
      </c>
      <c r="G188" s="103">
        <f t="shared" ref="G188" si="37">G185+25*G186+0.298*G187</f>
        <v>198.07389506389973</v>
      </c>
      <c r="I188" s="699">
        <f>I185+25*I186+0.298*I187</f>
        <v>237.06320573794014</v>
      </c>
    </row>
    <row r="189" spans="2:9">
      <c r="B189" s="481"/>
      <c r="C189" s="481"/>
      <c r="D189" s="481"/>
      <c r="E189" s="77"/>
      <c r="F189" s="77"/>
      <c r="G189" s="77"/>
      <c r="I189" s="77"/>
    </row>
    <row r="190" spans="2:9">
      <c r="B190" s="698" t="s">
        <v>1111</v>
      </c>
      <c r="C190" s="481"/>
      <c r="D190" s="481"/>
      <c r="E190" s="484"/>
      <c r="F190" s="484"/>
      <c r="G190" s="484"/>
      <c r="H190" s="484"/>
    </row>
    <row r="191" spans="2:9">
      <c r="B191" s="344"/>
      <c r="C191" s="696"/>
      <c r="D191" s="696"/>
      <c r="E191" s="696" t="str">
        <f>E179</f>
        <v>原料开采处理</v>
      </c>
      <c r="F191" s="696" t="str">
        <f>F179</f>
        <v>原料运输</v>
      </c>
      <c r="G191" s="696" t="str">
        <f>G179</f>
        <v>燃料制备与燃烧</v>
      </c>
      <c r="I191" s="345" t="str">
        <f>I179</f>
        <v>合计</v>
      </c>
    </row>
    <row r="192" spans="2:9">
      <c r="B192" s="346" t="str">
        <f>B180</f>
        <v>LCA-Coal</v>
      </c>
      <c r="C192" s="346" t="str">
        <f t="shared" ref="C192:D192" si="38">C180</f>
        <v>煤炭</v>
      </c>
      <c r="D192" s="346" t="str">
        <f t="shared" si="38"/>
        <v>MJ/MJ</v>
      </c>
      <c r="E192" s="481">
        <f>GridE!F22</f>
        <v>0.19401151030520888</v>
      </c>
      <c r="F192" s="481">
        <f>GridE!F33</f>
        <v>6.4923740841511405E-3</v>
      </c>
      <c r="G192" s="481">
        <f>GridE!F44</f>
        <v>2.7619439384145266</v>
      </c>
      <c r="I192" s="347">
        <f>E192+F192+G192</f>
        <v>2.9624478228038864</v>
      </c>
    </row>
    <row r="193" spans="2:9">
      <c r="B193" s="346" t="str">
        <f t="shared" ref="B193:D193" si="39">B181</f>
        <v>LCA-NG</v>
      </c>
      <c r="C193" s="346" t="str">
        <f t="shared" si="39"/>
        <v>天然气</v>
      </c>
      <c r="D193" s="346" t="str">
        <f t="shared" si="39"/>
        <v>MJ/MJ</v>
      </c>
      <c r="E193" s="481">
        <f>GridE!F23</f>
        <v>5.7699171170986843E-3</v>
      </c>
      <c r="F193" s="481">
        <f>GridE!F34</f>
        <v>1.7659953790053597E-3</v>
      </c>
      <c r="G193" s="481">
        <f>GridE!F45</f>
        <v>0</v>
      </c>
      <c r="I193" s="347">
        <f t="shared" ref="I193:I194" si="40">E193+F193+G193</f>
        <v>7.5359124961040438E-3</v>
      </c>
    </row>
    <row r="194" spans="2:9">
      <c r="B194" s="346" t="str">
        <f t="shared" ref="B194:D194" si="41">B182</f>
        <v>LCA-Oil</v>
      </c>
      <c r="C194" s="346" t="str">
        <f t="shared" si="41"/>
        <v>石油</v>
      </c>
      <c r="D194" s="346" t="str">
        <f t="shared" si="41"/>
        <v>MJ/MJ</v>
      </c>
      <c r="E194" s="481">
        <f>GridE!F24</f>
        <v>7.5755355800909219E-3</v>
      </c>
      <c r="F194" s="481">
        <f>GridE!F35</f>
        <v>3.316010640444645E-2</v>
      </c>
      <c r="G194" s="481">
        <f>GridE!F46</f>
        <v>0</v>
      </c>
      <c r="I194" s="347">
        <f t="shared" si="40"/>
        <v>4.0735641984537371E-2</v>
      </c>
    </row>
    <row r="195" spans="2:9">
      <c r="B195" s="346" t="str">
        <f t="shared" ref="B195:D195" si="42">B183</f>
        <v>LCA-PE</v>
      </c>
      <c r="C195" s="346" t="str">
        <f t="shared" si="42"/>
        <v>一次能源总计</v>
      </c>
      <c r="D195" s="346" t="str">
        <f t="shared" si="42"/>
        <v>MJ/MJ</v>
      </c>
      <c r="E195" s="481">
        <f>E192+E193+E194</f>
        <v>0.20735696300239848</v>
      </c>
      <c r="F195" s="481">
        <f t="shared" ref="F195:G195" si="43">F192+F193+F194</f>
        <v>4.1418475867602951E-2</v>
      </c>
      <c r="G195" s="481">
        <f t="shared" si="43"/>
        <v>2.7619439384145266</v>
      </c>
      <c r="I195" s="347">
        <f>E195+F195+G195</f>
        <v>3.010719377284528</v>
      </c>
    </row>
    <row r="196" spans="2:9">
      <c r="B196" s="346"/>
      <c r="C196" s="481"/>
      <c r="D196" s="481"/>
      <c r="E196" s="481"/>
      <c r="F196" s="481"/>
      <c r="G196" s="481"/>
      <c r="I196" s="347"/>
    </row>
    <row r="197" spans="2:9">
      <c r="B197" s="346" t="str">
        <f>B185</f>
        <v>LCA-CO2</v>
      </c>
      <c r="C197" s="346" t="str">
        <f t="shared" ref="C197:D197" si="44">C185</f>
        <v>二氧化碳</v>
      </c>
      <c r="D197" s="346" t="str">
        <f t="shared" si="44"/>
        <v>g/MJ</v>
      </c>
      <c r="E197" s="481">
        <f>GridE!F27</f>
        <v>16.718954517649788</v>
      </c>
      <c r="F197" s="481">
        <f>GridE!F38</f>
        <v>3.0313221175871288</v>
      </c>
      <c r="G197" s="481">
        <f>GridE!F49</f>
        <v>225.49062702003877</v>
      </c>
      <c r="I197" s="347">
        <f>E197+F197+G197</f>
        <v>245.2409036552757</v>
      </c>
    </row>
    <row r="198" spans="2:9">
      <c r="B198" s="346" t="str">
        <f t="shared" ref="B198:D198" si="45">B186</f>
        <v>LCA-CH4</v>
      </c>
      <c r="C198" s="346" t="str">
        <f t="shared" si="45"/>
        <v>甲烷</v>
      </c>
      <c r="D198" s="346" t="str">
        <f t="shared" si="45"/>
        <v>g/MJ</v>
      </c>
      <c r="E198" s="481">
        <f>GridE!F28</f>
        <v>1.2008341669881797</v>
      </c>
      <c r="F198" s="481">
        <f>GridE!F39</f>
        <v>3.3801504314422831E-3</v>
      </c>
      <c r="G198" s="481">
        <f>GridE!F50</f>
        <v>2.7619439384145264E-3</v>
      </c>
      <c r="I198" s="347">
        <f t="shared" ref="I198:I199" si="46">E198+F198+G198</f>
        <v>1.2069762613580366</v>
      </c>
    </row>
    <row r="199" spans="2:9">
      <c r="B199" s="346" t="str">
        <f t="shared" ref="B199:D199" si="47">B187</f>
        <v>LCA-N2O</v>
      </c>
      <c r="C199" s="346" t="str">
        <f t="shared" si="47"/>
        <v>氧化二氮</v>
      </c>
      <c r="D199" s="346" t="str">
        <f t="shared" si="47"/>
        <v>mg/MJ</v>
      </c>
      <c r="E199" s="481">
        <f>GridE!F29</f>
        <v>3.6215025094878654E-4</v>
      </c>
      <c r="F199" s="481">
        <f>GridE!F40</f>
        <v>6.9393811346879053E-4</v>
      </c>
      <c r="G199" s="481">
        <f>GridE!F51</f>
        <v>2.7619439384145264E-3</v>
      </c>
      <c r="I199" s="347">
        <f t="shared" si="46"/>
        <v>3.8180323028321034E-3</v>
      </c>
    </row>
    <row r="200" spans="2:9">
      <c r="B200" s="346" t="str">
        <f t="shared" ref="B200:D200" si="48">B188</f>
        <v>LCA-GHG</v>
      </c>
      <c r="C200" s="346" t="str">
        <f t="shared" si="48"/>
        <v>GHG合计</v>
      </c>
      <c r="D200" s="346" t="str">
        <f t="shared" si="48"/>
        <v>g/MJ</v>
      </c>
      <c r="E200" s="103">
        <f>E197+25*E198+0.298*E199</f>
        <v>46.739916613129061</v>
      </c>
      <c r="F200" s="103">
        <f>F197+25*F198+0.298*F199</f>
        <v>3.1160326719309994</v>
      </c>
      <c r="G200" s="103">
        <f>G197+25*G198+0.298*G199</f>
        <v>225.56049867779279</v>
      </c>
      <c r="I200" s="347">
        <f>E200+F200+G200</f>
        <v>275.41644796285289</v>
      </c>
    </row>
    <row r="201" spans="2:9">
      <c r="B201" s="481"/>
      <c r="C201" s="481"/>
      <c r="D201" s="481"/>
      <c r="E201" s="77"/>
      <c r="F201" s="77"/>
      <c r="G201" s="77"/>
      <c r="I201" s="77"/>
    </row>
    <row r="202" spans="2:9">
      <c r="B202" s="698" t="s">
        <v>1112</v>
      </c>
      <c r="C202" s="481"/>
      <c r="D202" s="481"/>
      <c r="E202" s="484"/>
      <c r="F202" s="484"/>
      <c r="G202" s="484"/>
      <c r="H202" s="484"/>
    </row>
    <row r="203" spans="2:9">
      <c r="B203" s="344"/>
      <c r="C203" s="696"/>
      <c r="D203" s="696"/>
      <c r="E203" s="696" t="str">
        <f>E191</f>
        <v>原料开采处理</v>
      </c>
      <c r="F203" s="696" t="str">
        <f>F191</f>
        <v>原料运输</v>
      </c>
      <c r="G203" s="696" t="str">
        <f>G191</f>
        <v>燃料制备与燃烧</v>
      </c>
      <c r="I203" s="345" t="str">
        <f>I191</f>
        <v>合计</v>
      </c>
    </row>
    <row r="204" spans="2:9">
      <c r="B204" s="346" t="str">
        <f>B192</f>
        <v>LCA-Coal</v>
      </c>
      <c r="C204" s="346" t="str">
        <f t="shared" ref="C204:D204" si="49">C192</f>
        <v>煤炭</v>
      </c>
      <c r="D204" s="346" t="str">
        <f t="shared" si="49"/>
        <v>MJ/MJ</v>
      </c>
      <c r="E204" s="481">
        <f>GridE!G22</f>
        <v>0.20226731925436672</v>
      </c>
      <c r="F204" s="481">
        <f>GridE!G33</f>
        <v>6.7686453217745933E-3</v>
      </c>
      <c r="G204" s="481">
        <f>GridE!G44</f>
        <v>2.8794734677087619</v>
      </c>
      <c r="I204" s="347">
        <f>E204+F204+G204</f>
        <v>3.0885094322849032</v>
      </c>
    </row>
    <row r="205" spans="2:9">
      <c r="B205" s="346" t="str">
        <f t="shared" ref="B205:D205" si="50">B193</f>
        <v>LCA-NG</v>
      </c>
      <c r="C205" s="346" t="str">
        <f t="shared" si="50"/>
        <v>天然气</v>
      </c>
      <c r="D205" s="346" t="str">
        <f t="shared" si="50"/>
        <v>MJ/MJ</v>
      </c>
      <c r="E205" s="481">
        <f>GridE!G23</f>
        <v>6.0154455050603307E-3</v>
      </c>
      <c r="F205" s="481">
        <f>GridE!G34</f>
        <v>1.8411441185375026E-3</v>
      </c>
      <c r="G205" s="481">
        <f>GridE!G45</f>
        <v>0</v>
      </c>
      <c r="I205" s="347">
        <f t="shared" ref="I205:I206" si="51">E205+F205+G205</f>
        <v>7.8565896235978337E-3</v>
      </c>
    </row>
    <row r="206" spans="2:9">
      <c r="B206" s="346" t="str">
        <f t="shared" ref="B206:D206" si="52">B194</f>
        <v>LCA-Oil</v>
      </c>
      <c r="C206" s="346" t="str">
        <f t="shared" si="52"/>
        <v>石油</v>
      </c>
      <c r="D206" s="346" t="str">
        <f t="shared" si="52"/>
        <v>MJ/MJ</v>
      </c>
      <c r="E206" s="481">
        <f>GridE!G24</f>
        <v>7.897898796265004E-3</v>
      </c>
      <c r="F206" s="481">
        <f>GridE!G35</f>
        <v>3.457117476208247E-2</v>
      </c>
      <c r="G206" s="481">
        <f>GridE!G46</f>
        <v>0</v>
      </c>
      <c r="I206" s="347">
        <f t="shared" si="51"/>
        <v>4.2469073558347475E-2</v>
      </c>
    </row>
    <row r="207" spans="2:9">
      <c r="B207" s="346" t="str">
        <f t="shared" ref="B207:D207" si="53">B195</f>
        <v>LCA-PE</v>
      </c>
      <c r="C207" s="346" t="str">
        <f t="shared" si="53"/>
        <v>一次能源总计</v>
      </c>
      <c r="D207" s="346" t="str">
        <f t="shared" si="53"/>
        <v>MJ/MJ</v>
      </c>
      <c r="E207" s="481">
        <f>E204+E205+E206</f>
        <v>0.21618066355569207</v>
      </c>
      <c r="F207" s="481">
        <f t="shared" ref="F207:G207" si="54">F204+F205+F206</f>
        <v>4.3180964202394562E-2</v>
      </c>
      <c r="G207" s="481">
        <f t="shared" si="54"/>
        <v>2.8794734677087619</v>
      </c>
      <c r="I207" s="347">
        <f>E207+F207+G207</f>
        <v>3.1388350954668485</v>
      </c>
    </row>
    <row r="208" spans="2:9">
      <c r="B208" s="346"/>
      <c r="C208" s="481"/>
      <c r="D208" s="481"/>
      <c r="E208" s="481"/>
      <c r="F208" s="481"/>
      <c r="G208" s="481"/>
      <c r="I208" s="347"/>
    </row>
    <row r="209" spans="2:9">
      <c r="B209" s="346" t="str">
        <f>B197</f>
        <v>LCA-CO2</v>
      </c>
      <c r="C209" s="346" t="str">
        <f t="shared" ref="C209:D209" si="55">C197</f>
        <v>二氧化碳</v>
      </c>
      <c r="D209" s="346" t="str">
        <f t="shared" si="55"/>
        <v>g/MJ</v>
      </c>
      <c r="E209" s="481">
        <f>GridE!G27</f>
        <v>17.430399390741268</v>
      </c>
      <c r="F209" s="481">
        <f>GridE!G38</f>
        <v>3.1603145481227517</v>
      </c>
      <c r="G209" s="481">
        <f>GridE!G49</f>
        <v>235.08597285067873</v>
      </c>
      <c r="I209" s="347">
        <f>E209+F209+G209</f>
        <v>255.67668678954274</v>
      </c>
    </row>
    <row r="210" spans="2:9">
      <c r="B210" s="346" t="str">
        <f t="shared" ref="B210:D210" si="56">B198</f>
        <v>LCA-CH4</v>
      </c>
      <c r="C210" s="346" t="str">
        <f t="shared" si="56"/>
        <v>甲烷</v>
      </c>
      <c r="D210" s="346" t="str">
        <f t="shared" si="56"/>
        <v>g/MJ</v>
      </c>
      <c r="E210" s="481">
        <f>GridE!G28</f>
        <v>1.251933493242996</v>
      </c>
      <c r="F210" s="481">
        <f>GridE!G39</f>
        <v>3.5239866200142953E-3</v>
      </c>
      <c r="G210" s="481">
        <f>GridE!G50</f>
        <v>2.8794734677087619E-3</v>
      </c>
      <c r="I210" s="347">
        <f t="shared" ref="I210:I211" si="57">E210+F210+G210</f>
        <v>1.2583369533307189</v>
      </c>
    </row>
    <row r="211" spans="2:9">
      <c r="B211" s="346" t="str">
        <f t="shared" ref="B211:D211" si="58">B199</f>
        <v>LCA-N2O</v>
      </c>
      <c r="C211" s="346" t="str">
        <f t="shared" si="58"/>
        <v>氧化二氮</v>
      </c>
      <c r="D211" s="346" t="str">
        <f t="shared" si="58"/>
        <v>mg/MJ</v>
      </c>
      <c r="E211" s="481">
        <f>GridE!G29</f>
        <v>3.7756089992533064E-4</v>
      </c>
      <c r="F211" s="481">
        <f>GridE!G40</f>
        <v>7.2346739489299438E-4</v>
      </c>
      <c r="G211" s="481">
        <f>GridE!G51</f>
        <v>2.8794734677087619E-3</v>
      </c>
      <c r="I211" s="347">
        <f t="shared" si="57"/>
        <v>3.9805017625270875E-3</v>
      </c>
    </row>
    <row r="212" spans="2:9">
      <c r="B212" s="346" t="str">
        <f t="shared" ref="B212:D212" si="59">B200</f>
        <v>LCA-GHG</v>
      </c>
      <c r="C212" s="346" t="str">
        <f t="shared" si="59"/>
        <v>GHG合计</v>
      </c>
      <c r="D212" s="346" t="str">
        <f t="shared" si="59"/>
        <v>g/MJ</v>
      </c>
      <c r="E212" s="103">
        <f>E209+25*E210+0.298*E211</f>
        <v>48.728849234964336</v>
      </c>
      <c r="F212" s="103">
        <f t="shared" ref="F212" si="60">F209+25*F210+0.298*F211</f>
        <v>3.2486298069067869</v>
      </c>
      <c r="G212" s="103">
        <f>G209+25*G210+0.298*G211</f>
        <v>235.15881777046485</v>
      </c>
      <c r="I212" s="347">
        <f>E212+F212+G212</f>
        <v>287.13629681233596</v>
      </c>
    </row>
    <row r="213" spans="2:9">
      <c r="B213" s="481"/>
      <c r="C213" s="481"/>
      <c r="D213" s="481"/>
      <c r="E213" s="77"/>
      <c r="F213" s="77"/>
      <c r="G213" s="77"/>
      <c r="I213" s="77"/>
    </row>
    <row r="214" spans="2:9">
      <c r="B214" s="698" t="s">
        <v>1113</v>
      </c>
      <c r="C214" s="481"/>
      <c r="D214" s="481"/>
      <c r="E214" s="484"/>
      <c r="F214" s="484"/>
      <c r="G214" s="484"/>
      <c r="H214" s="484"/>
    </row>
    <row r="215" spans="2:9">
      <c r="B215" s="344"/>
      <c r="C215" s="696"/>
      <c r="D215" s="696"/>
      <c r="E215" s="696" t="str">
        <f>E203</f>
        <v>原料开采处理</v>
      </c>
      <c r="F215" s="696" t="str">
        <f>F203</f>
        <v>原料运输</v>
      </c>
      <c r="G215" s="696" t="str">
        <f>G203</f>
        <v>燃料制备与燃烧</v>
      </c>
      <c r="I215" s="345" t="str">
        <f>I203</f>
        <v>合计</v>
      </c>
    </row>
    <row r="216" spans="2:9">
      <c r="B216" s="346" t="str">
        <f>B204</f>
        <v>LCA-Coal</v>
      </c>
      <c r="C216" s="346" t="str">
        <f t="shared" ref="C216:D216" si="61">C204</f>
        <v>煤炭</v>
      </c>
      <c r="D216" s="346" t="str">
        <f t="shared" si="61"/>
        <v>MJ/MJ</v>
      </c>
      <c r="E216" s="481">
        <f>GridE!H22</f>
        <v>0.1674679618434694</v>
      </c>
      <c r="F216" s="481">
        <f>GridE!H33</f>
        <v>6.0031957761154994E-3</v>
      </c>
      <c r="G216" s="481">
        <f>GridE!H44</f>
        <v>2.3546759778785176</v>
      </c>
      <c r="I216" s="347">
        <f>E216+F216+G216</f>
        <v>2.5281471354981027</v>
      </c>
    </row>
    <row r="217" spans="2:9">
      <c r="B217" s="346" t="str">
        <f t="shared" ref="B217:D217" si="62">B205</f>
        <v>LCA-NG</v>
      </c>
      <c r="C217" s="346" t="str">
        <f t="shared" si="62"/>
        <v>天然气</v>
      </c>
      <c r="D217" s="346" t="str">
        <f t="shared" si="62"/>
        <v>MJ/MJ</v>
      </c>
      <c r="E217" s="481">
        <f>GridE!H23</f>
        <v>9.2428218296535178E-3</v>
      </c>
      <c r="F217" s="481">
        <f>GridE!H34</f>
        <v>1.74210758076936E-3</v>
      </c>
      <c r="G217" s="481">
        <f>GridE!H45</f>
        <v>1.6637149213574669E-2</v>
      </c>
      <c r="I217" s="347">
        <f t="shared" ref="I217:I218" si="63">E217+F217+G217</f>
        <v>2.7622078623997546E-2</v>
      </c>
    </row>
    <row r="218" spans="2:9">
      <c r="B218" s="346" t="str">
        <f t="shared" ref="B218:D218" si="64">B206</f>
        <v>LCA-Oil</v>
      </c>
      <c r="C218" s="346" t="str">
        <f t="shared" si="64"/>
        <v>石油</v>
      </c>
      <c r="D218" s="346" t="str">
        <f t="shared" si="64"/>
        <v>MJ/MJ</v>
      </c>
      <c r="E218" s="481">
        <f>GridE!H24</f>
        <v>8.7543765844140496E-3</v>
      </c>
      <c r="F218" s="481">
        <f>GridE!H35</f>
        <v>2.8812948678076166E-2</v>
      </c>
      <c r="G218" s="481">
        <f>GridE!H46</f>
        <v>6.3727597149464799E-2</v>
      </c>
      <c r="I218" s="347">
        <f t="shared" si="63"/>
        <v>0.10129492241195501</v>
      </c>
    </row>
    <row r="219" spans="2:9">
      <c r="B219" s="346" t="str">
        <f t="shared" ref="B219:D219" si="65">B207</f>
        <v>LCA-PE</v>
      </c>
      <c r="C219" s="346" t="str">
        <f t="shared" si="65"/>
        <v>一次能源总计</v>
      </c>
      <c r="D219" s="346" t="str">
        <f t="shared" si="65"/>
        <v>MJ/MJ</v>
      </c>
      <c r="E219" s="481">
        <f>E216+E217+E218</f>
        <v>0.18546516025753698</v>
      </c>
      <c r="F219" s="481">
        <f t="shared" ref="F219:G219" si="66">F216+F217+F218</f>
        <v>3.6558252034961027E-2</v>
      </c>
      <c r="G219" s="481">
        <f t="shared" si="66"/>
        <v>2.4350407242415568</v>
      </c>
      <c r="I219" s="347">
        <f>E219+F219+G219</f>
        <v>2.6570641365340548</v>
      </c>
    </row>
    <row r="220" spans="2:9">
      <c r="B220" s="346"/>
      <c r="C220" s="481"/>
      <c r="D220" s="481"/>
      <c r="E220" s="481"/>
      <c r="F220" s="481"/>
      <c r="G220" s="481"/>
      <c r="I220" s="347"/>
    </row>
    <row r="221" spans="2:9">
      <c r="B221" s="346" t="str">
        <f>B209</f>
        <v>LCA-CO2</v>
      </c>
      <c r="C221" s="346" t="str">
        <f t="shared" ref="C221:D221" si="67">C209</f>
        <v>二氧化碳</v>
      </c>
      <c r="D221" s="346" t="str">
        <f t="shared" si="67"/>
        <v>g/MJ</v>
      </c>
      <c r="E221" s="481">
        <f>GridE!H27</f>
        <v>14.830598854577085</v>
      </c>
      <c r="F221" s="481">
        <f>GridE!H38</f>
        <v>2.6768804752566506</v>
      </c>
      <c r="G221" s="481">
        <f>GridE!H49</f>
        <v>197.99805163372352</v>
      </c>
      <c r="I221" s="347">
        <f>E221+F221+G221</f>
        <v>215.50553096355725</v>
      </c>
    </row>
    <row r="222" spans="2:9">
      <c r="B222" s="346" t="str">
        <f t="shared" ref="B222:D222" si="68">B210</f>
        <v>LCA-CH4</v>
      </c>
      <c r="C222" s="346" t="str">
        <f t="shared" si="68"/>
        <v>甲烷</v>
      </c>
      <c r="D222" s="346" t="str">
        <f t="shared" si="68"/>
        <v>g/MJ</v>
      </c>
      <c r="E222" s="481">
        <f>GridE!H28</f>
        <v>1.0262520499539887</v>
      </c>
      <c r="F222" s="481">
        <f>GridE!H39</f>
        <v>3.0955586470233281E-3</v>
      </c>
      <c r="G222" s="481">
        <f>GridE!H50</f>
        <v>3.0056384653388999E-3</v>
      </c>
      <c r="I222" s="347">
        <f t="shared" ref="I222:I223" si="69">E222+F222+G222</f>
        <v>1.032353247066351</v>
      </c>
    </row>
    <row r="223" spans="2:9">
      <c r="B223" s="346" t="str">
        <f t="shared" ref="B223:D223" si="70">B211</f>
        <v>LCA-N2O</v>
      </c>
      <c r="C223" s="346" t="str">
        <f t="shared" si="70"/>
        <v>氧化二氮</v>
      </c>
      <c r="D223" s="346" t="str">
        <f t="shared" si="70"/>
        <v>mg/MJ</v>
      </c>
      <c r="E223" s="481">
        <f>GridE!H29</f>
        <v>3.2739834842193324E-4</v>
      </c>
      <c r="F223" s="481">
        <f>GridE!H40</f>
        <v>5.9258732336212603E-4</v>
      </c>
      <c r="G223" s="481">
        <f>GridE!H51</f>
        <v>2.3572769889696355E-3</v>
      </c>
      <c r="I223" s="347">
        <f t="shared" si="69"/>
        <v>3.2772626607536948E-3</v>
      </c>
    </row>
    <row r="224" spans="2:9">
      <c r="B224" s="346" t="str">
        <f t="shared" ref="B224:D224" si="71">B212</f>
        <v>LCA-GHG</v>
      </c>
      <c r="C224" s="346" t="str">
        <f t="shared" si="71"/>
        <v>GHG合计</v>
      </c>
      <c r="D224" s="346" t="str">
        <f t="shared" si="71"/>
        <v>g/MJ</v>
      </c>
      <c r="E224" s="103">
        <f>E221+25*E222+0.298*E223</f>
        <v>40.486997668134627</v>
      </c>
      <c r="F224" s="103">
        <f t="shared" ref="F224:G224" si="72">F221+25*F222+0.298*F223</f>
        <v>2.7544460324545956</v>
      </c>
      <c r="G224" s="103">
        <f t="shared" si="72"/>
        <v>198.07389506389973</v>
      </c>
      <c r="I224" s="347">
        <f>E224+F224+G224</f>
        <v>241.31533876448896</v>
      </c>
    </row>
    <row r="225" spans="1:10">
      <c r="B225" s="481"/>
      <c r="C225" s="481"/>
      <c r="D225" s="481"/>
      <c r="E225" s="77"/>
      <c r="F225" s="77"/>
      <c r="G225" s="77"/>
      <c r="I225" s="77"/>
    </row>
    <row r="226" spans="1:10">
      <c r="A226" s="533" t="s">
        <v>1033</v>
      </c>
      <c r="B226" t="s">
        <v>1018</v>
      </c>
    </row>
    <row r="227" spans="1:10">
      <c r="B227" s="690"/>
      <c r="C227" s="108"/>
      <c r="D227" s="108"/>
      <c r="E227" s="108" t="str">
        <f>Coal!F2</f>
        <v>原煤开采处理</v>
      </c>
      <c r="F227" s="108" t="str">
        <f>Coal!G2</f>
        <v>煤炭运输</v>
      </c>
      <c r="G227" s="108" t="str">
        <f>Coal!H2</f>
        <v>煤炭使用</v>
      </c>
      <c r="H227" s="691" t="s">
        <v>1035</v>
      </c>
    </row>
    <row r="228" spans="1:10">
      <c r="B228" s="93" t="s">
        <v>1017</v>
      </c>
      <c r="C228" s="35" t="s">
        <v>1018</v>
      </c>
      <c r="D228" s="35" t="s">
        <v>4</v>
      </c>
      <c r="E228" s="481">
        <f>Coal!F5</f>
        <v>7.0244550443909357E-2</v>
      </c>
      <c r="F228" s="481">
        <f>Coal!G5</f>
        <v>2.3506538253191479E-3</v>
      </c>
      <c r="G228" s="481">
        <f>Coal!H5</f>
        <v>1</v>
      </c>
      <c r="H228" s="347">
        <f>SUM(E228:G228)</f>
        <v>1.0725952042692286</v>
      </c>
    </row>
    <row r="229" spans="1:10">
      <c r="B229" s="93" t="s">
        <v>1019</v>
      </c>
      <c r="C229" s="35" t="s">
        <v>1020</v>
      </c>
      <c r="D229" s="35" t="s">
        <v>4</v>
      </c>
      <c r="E229" s="481">
        <f>Coal!F6</f>
        <v>2.0890782889716659E-3</v>
      </c>
      <c r="F229" s="481">
        <f>Coal!G6</f>
        <v>6.3940305030923841E-4</v>
      </c>
      <c r="G229" s="481">
        <f>Coal!H6</f>
        <v>0</v>
      </c>
      <c r="H229" s="347">
        <f>SUM(E229:G229)</f>
        <v>2.7284813392809042E-3</v>
      </c>
    </row>
    <row r="230" spans="1:10">
      <c r="B230" s="93" t="s">
        <v>1021</v>
      </c>
      <c r="C230" s="35" t="s">
        <v>1022</v>
      </c>
      <c r="D230" s="35" t="s">
        <v>4</v>
      </c>
      <c r="E230" s="481">
        <f>Coal!F7</f>
        <v>2.7428274248171747E-3</v>
      </c>
      <c r="F230" s="481">
        <f>Coal!G7</f>
        <v>1.2006075120946069E-2</v>
      </c>
      <c r="G230" s="481">
        <f>Coal!H7</f>
        <v>0</v>
      </c>
      <c r="H230" s="347">
        <f>SUM(E230:G230)</f>
        <v>1.4748902545763243E-2</v>
      </c>
    </row>
    <row r="231" spans="1:10">
      <c r="B231" s="93" t="s">
        <v>1023</v>
      </c>
      <c r="C231" s="35" t="s">
        <v>1024</v>
      </c>
      <c r="D231" s="35" t="s">
        <v>4</v>
      </c>
      <c r="E231" s="481">
        <f>Coal!F8</f>
        <v>7.5076456157698188E-2</v>
      </c>
      <c r="F231" s="481">
        <f>Coal!G8</f>
        <v>1.4996131996574454E-2</v>
      </c>
      <c r="G231" s="481">
        <f>Coal!H8</f>
        <v>1</v>
      </c>
      <c r="H231" s="347">
        <f>SUM(E231:G231)</f>
        <v>1.0900725881542725</v>
      </c>
    </row>
    <row r="232" spans="1:10">
      <c r="B232" s="93"/>
      <c r="C232" s="35"/>
      <c r="D232" s="35"/>
      <c r="E232" s="35"/>
      <c r="F232" s="35"/>
      <c r="G232" s="35"/>
      <c r="H232" s="84"/>
    </row>
    <row r="233" spans="1:10">
      <c r="B233" s="93" t="s">
        <v>1025</v>
      </c>
      <c r="C233" s="35" t="s">
        <v>1026</v>
      </c>
      <c r="D233" s="35" t="s">
        <v>9</v>
      </c>
      <c r="E233" s="481">
        <f>Coal!F10</f>
        <v>6.0533287026988605</v>
      </c>
      <c r="F233" s="481">
        <f>Coal!G10</f>
        <v>1.0975320952123442</v>
      </c>
      <c r="G233" s="481">
        <f>Coal!H10</f>
        <v>81.641999999999996</v>
      </c>
      <c r="H233" s="347">
        <f>SUM(E233:G233)</f>
        <v>88.792860797911203</v>
      </c>
    </row>
    <row r="234" spans="1:10">
      <c r="B234" s="93" t="s">
        <v>1027</v>
      </c>
      <c r="C234" s="35" t="s">
        <v>1028</v>
      </c>
      <c r="D234" s="35" t="s">
        <v>9</v>
      </c>
      <c r="E234" s="481">
        <f>Coal!F11</f>
        <v>0.43477861743910329</v>
      </c>
      <c r="F234" s="481">
        <f>Coal!G11</f>
        <v>1.2238302104649644E-3</v>
      </c>
      <c r="G234" s="481">
        <f>Coal!H11</f>
        <v>1E-3</v>
      </c>
      <c r="H234" s="347">
        <f>SUM(E234:G234)</f>
        <v>0.43700244764956825</v>
      </c>
    </row>
    <row r="235" spans="1:10">
      <c r="B235" s="93" t="s">
        <v>1029</v>
      </c>
      <c r="C235" s="35" t="s">
        <v>1030</v>
      </c>
      <c r="D235" s="35" t="s">
        <v>10</v>
      </c>
      <c r="E235" s="481">
        <f>Coal!F12</f>
        <v>1.3112150681692555E-4</v>
      </c>
      <c r="F235" s="481">
        <f>Coal!G12</f>
        <v>2.5124989099783849E-4</v>
      </c>
      <c r="G235" s="481">
        <f>Coal!H12</f>
        <v>1E-3</v>
      </c>
      <c r="H235" s="347">
        <f>SUM(E235:G235)</f>
        <v>1.3823713978147641E-3</v>
      </c>
    </row>
    <row r="236" spans="1:10">
      <c r="B236" s="101" t="s">
        <v>1031</v>
      </c>
      <c r="C236" s="102" t="s">
        <v>1032</v>
      </c>
      <c r="D236" s="102" t="s">
        <v>9</v>
      </c>
      <c r="E236" s="483">
        <f>Coal!F13</f>
        <v>16.922833212885475</v>
      </c>
      <c r="F236" s="483">
        <f>Coal!G13</f>
        <v>1.1282027229414855</v>
      </c>
      <c r="G236" s="483">
        <f>Coal!H13</f>
        <v>81.667298000000002</v>
      </c>
      <c r="H236" s="349">
        <f>SUM(E236:G236)</f>
        <v>99.718333935826962</v>
      </c>
    </row>
    <row r="239" spans="1:10">
      <c r="B239" s="533" t="s">
        <v>1036</v>
      </c>
    </row>
    <row r="240" spans="1:10">
      <c r="B240" s="690"/>
      <c r="C240" s="108"/>
      <c r="D240" s="108"/>
      <c r="E240" s="108" t="str">
        <f>CtL!D27</f>
        <v>原煤开采处理</v>
      </c>
      <c r="F240" s="108" t="str">
        <f>CtL!E27</f>
        <v>煤炭运输</v>
      </c>
      <c r="G240" s="108" t="str">
        <f>CtL!F27</f>
        <v>CTL制备</v>
      </c>
      <c r="H240" s="108" t="str">
        <f>CtL!G27</f>
        <v>CTL输配</v>
      </c>
      <c r="I240" s="108" t="str">
        <f>CtL!H27</f>
        <v>CTL燃烧</v>
      </c>
      <c r="J240" s="467" t="str">
        <f>CtL!I27</f>
        <v>合计</v>
      </c>
    </row>
    <row r="241" spans="2:11">
      <c r="B241" s="93" t="s">
        <v>1017</v>
      </c>
      <c r="C241" s="35" t="s">
        <v>1018</v>
      </c>
      <c r="D241" s="35" t="s">
        <v>4</v>
      </c>
      <c r="E241" s="481">
        <f>CtL!N29</f>
        <v>0.14248387513977556</v>
      </c>
      <c r="F241" s="481">
        <f>CtL!O29</f>
        <v>4.7680604976047631E-3</v>
      </c>
      <c r="G241" s="481">
        <f>CtL!P29</f>
        <v>1.028397565922921</v>
      </c>
      <c r="H241" s="481">
        <f>CtL!Q29</f>
        <v>2.2847998565108316E-3</v>
      </c>
      <c r="I241" s="481">
        <f>CtL!R29</f>
        <v>1</v>
      </c>
      <c r="J241" s="347">
        <f>CtL!S29</f>
        <v>2.177934301416812</v>
      </c>
    </row>
    <row r="242" spans="2:11">
      <c r="B242" s="93" t="s">
        <v>1019</v>
      </c>
      <c r="C242" s="35" t="s">
        <v>1020</v>
      </c>
      <c r="D242" s="35" t="s">
        <v>4</v>
      </c>
      <c r="E242" s="481">
        <f>CtL!N30</f>
        <v>4.2374813163725484E-3</v>
      </c>
      <c r="F242" s="481">
        <f>CtL!O30</f>
        <v>1.29696359089095E-3</v>
      </c>
      <c r="G242" s="481">
        <f>CtL!P30</f>
        <v>0</v>
      </c>
      <c r="H242" s="481">
        <f>CtL!Q30</f>
        <v>3.4743223043014068E-4</v>
      </c>
      <c r="I242" s="481">
        <f>CtL!R30</f>
        <v>0</v>
      </c>
      <c r="J242" s="347">
        <f>CtL!S30</f>
        <v>5.8818771376936392E-3</v>
      </c>
    </row>
    <row r="243" spans="2:11">
      <c r="B243" s="93" t="s">
        <v>1021</v>
      </c>
      <c r="C243" s="35" t="s">
        <v>1022</v>
      </c>
      <c r="D243" s="35" t="s">
        <v>4</v>
      </c>
      <c r="E243" s="481">
        <f>CtL!N31</f>
        <v>5.5635444722457903E-3</v>
      </c>
      <c r="F243" s="481">
        <f>CtL!O31</f>
        <v>2.4353093551614746E-2</v>
      </c>
      <c r="G243" s="481">
        <f>CtL!P31</f>
        <v>0</v>
      </c>
      <c r="H243" s="481">
        <f>CtL!Q31</f>
        <v>4.6863196254656658E-3</v>
      </c>
      <c r="I243" s="481">
        <f>CtL!R31</f>
        <v>0</v>
      </c>
      <c r="J243" s="347">
        <f>CtL!S31</f>
        <v>3.4602957649326201E-2</v>
      </c>
    </row>
    <row r="244" spans="2:11">
      <c r="B244" s="93" t="s">
        <v>1023</v>
      </c>
      <c r="C244" s="35" t="s">
        <v>1024</v>
      </c>
      <c r="D244" s="35" t="s">
        <v>4</v>
      </c>
      <c r="E244" s="481">
        <f>CtL!N32</f>
        <v>0.15228490092839389</v>
      </c>
      <c r="F244" s="481">
        <f>CtL!O32</f>
        <v>3.0418117640110456E-2</v>
      </c>
      <c r="G244" s="481">
        <f>CtL!P32</f>
        <v>1.028397565922921</v>
      </c>
      <c r="H244" s="481">
        <f>CtL!Q32</f>
        <v>7.3185517124066384E-3</v>
      </c>
      <c r="I244" s="481">
        <f>CtL!R32</f>
        <v>1</v>
      </c>
      <c r="J244" s="347">
        <f>CtL!S32</f>
        <v>2.2184191362038321</v>
      </c>
    </row>
    <row r="245" spans="2:11">
      <c r="B245" s="93"/>
      <c r="C245" s="35"/>
      <c r="D245" s="35"/>
      <c r="E245" s="35"/>
      <c r="F245" s="35"/>
      <c r="G245" s="35"/>
      <c r="H245" s="35"/>
      <c r="I245" s="35"/>
      <c r="J245" s="84"/>
    </row>
    <row r="246" spans="2:11">
      <c r="B246" s="93" t="s">
        <v>1025</v>
      </c>
      <c r="C246" s="35" t="s">
        <v>1026</v>
      </c>
      <c r="D246" s="35" t="s">
        <v>9</v>
      </c>
      <c r="E246" s="481">
        <f>CtL!N34</f>
        <v>12.278557206285722</v>
      </c>
      <c r="F246" s="481">
        <f>CtL!O34</f>
        <v>2.2262314304510027</v>
      </c>
      <c r="G246" s="481">
        <f>CtL!P34</f>
        <v>91.302434077079099</v>
      </c>
      <c r="H246" s="481">
        <f>CtL!Q34</f>
        <v>0.55806620693335285</v>
      </c>
      <c r="I246" s="481">
        <f>CtL!R34</f>
        <v>74.3</v>
      </c>
      <c r="J246" s="347">
        <f>CtL!S34</f>
        <v>180.66528892074916</v>
      </c>
    </row>
    <row r="247" spans="2:11">
      <c r="B247" s="93" t="s">
        <v>1027</v>
      </c>
      <c r="C247" s="35" t="s">
        <v>1028</v>
      </c>
      <c r="D247" s="35" t="s">
        <v>9</v>
      </c>
      <c r="E247" s="481">
        <f>CtL!N35</f>
        <v>0.88190388932880992</v>
      </c>
      <c r="F247" s="481">
        <f>CtL!O35</f>
        <v>2.4824142200100697E-3</v>
      </c>
      <c r="G247" s="481">
        <f>CtL!P35</f>
        <v>2.0283975659229213E-3</v>
      </c>
      <c r="H247" s="481">
        <f>CtL!Q35</f>
        <v>1.0085557508089156E-3</v>
      </c>
      <c r="I247" s="481">
        <f>CtL!R35</f>
        <v>0</v>
      </c>
      <c r="J247" s="347">
        <f>CtL!S35</f>
        <v>0.88742325686555179</v>
      </c>
    </row>
    <row r="248" spans="2:11">
      <c r="B248" s="93" t="s">
        <v>1029</v>
      </c>
      <c r="C248" s="35" t="s">
        <v>1030</v>
      </c>
      <c r="D248" s="35" t="s">
        <v>10</v>
      </c>
      <c r="E248" s="481">
        <f>CtL!N36</f>
        <v>2.6596654526759748E-4</v>
      </c>
      <c r="F248" s="481">
        <f>CtL!O36</f>
        <v>5.096346673384148E-4</v>
      </c>
      <c r="G248" s="481">
        <f>CtL!P36</f>
        <v>2.0283975659229213E-3</v>
      </c>
      <c r="H248" s="481">
        <f>CtL!Q36</f>
        <v>1.8858934965282446E-5</v>
      </c>
      <c r="I248" s="481">
        <f>CtL!R36</f>
        <v>0</v>
      </c>
      <c r="J248" s="347">
        <f>CtL!S36</f>
        <v>2.8228577134942158E-3</v>
      </c>
    </row>
    <row r="249" spans="2:11">
      <c r="B249" s="101" t="s">
        <v>1031</v>
      </c>
      <c r="C249" s="102" t="s">
        <v>1032</v>
      </c>
      <c r="D249" s="102" t="s">
        <v>9</v>
      </c>
      <c r="E249" s="483">
        <f>CtL!N37</f>
        <v>34.326233697536459</v>
      </c>
      <c r="F249" s="483">
        <f>CtL!O37</f>
        <v>2.2884436570821207</v>
      </c>
      <c r="G249" s="483">
        <f>CtL!P37</f>
        <v>91.35374847870186</v>
      </c>
      <c r="H249" s="483">
        <f>CtL!Q37</f>
        <v>0.58328572066619533</v>
      </c>
      <c r="I249" s="483">
        <f>CtL!R37</f>
        <v>74.3</v>
      </c>
      <c r="J249" s="349">
        <f>CtL!S37</f>
        <v>202.8517115539866</v>
      </c>
    </row>
    <row r="252" spans="2:11">
      <c r="B252" s="533" t="s">
        <v>1037</v>
      </c>
    </row>
    <row r="253" spans="2:11">
      <c r="B253" s="690"/>
      <c r="C253" s="108"/>
      <c r="D253" s="108"/>
      <c r="E253" s="108" t="str">
        <f>'CtL(CCS)'!D31</f>
        <v>原煤开采处理</v>
      </c>
      <c r="F253" s="108" t="str">
        <f>'CtL(CCS)'!E31</f>
        <v>煤炭运输</v>
      </c>
      <c r="G253" s="107" t="str">
        <f>'CtL(CCS)'!F31</f>
        <v>CTL制备</v>
      </c>
      <c r="H253" s="467" t="str">
        <f>'CtL(CCS)'!G31</f>
        <v>捕获</v>
      </c>
      <c r="I253" s="108" t="str">
        <f>'CtL(CCS)'!H31</f>
        <v>CTL输配</v>
      </c>
      <c r="J253" s="108" t="str">
        <f>'CtL(CCS)'!I31</f>
        <v>CTL燃烧</v>
      </c>
      <c r="K253" s="467" t="str">
        <f>'CtL(CCS)'!J31</f>
        <v>合计</v>
      </c>
    </row>
    <row r="254" spans="2:11">
      <c r="B254" s="93" t="s">
        <v>1017</v>
      </c>
      <c r="C254" s="35" t="s">
        <v>1018</v>
      </c>
      <c r="D254" s="35" t="s">
        <v>4</v>
      </c>
      <c r="E254" s="481">
        <f>'CtL(CCS)'!N38</f>
        <v>0.16335941963699852</v>
      </c>
      <c r="F254" s="481">
        <f>'CtL(CCS)'!O38</f>
        <v>5.4666368030677863E-3</v>
      </c>
      <c r="G254" s="346">
        <f>'CtL(CCS)'!P38</f>
        <v>2.3255813953488373</v>
      </c>
      <c r="H254" s="347">
        <f>'CtL(CCS)'!Q38</f>
        <v>0</v>
      </c>
      <c r="I254" s="481">
        <f>'CtL(CCS)'!R38</f>
        <v>2.2847998565108316E-3</v>
      </c>
      <c r="J254" s="481">
        <f>'CtL(CCS)'!S38</f>
        <v>1</v>
      </c>
      <c r="K254" s="347">
        <f>'CtL(CCS)'!T38</f>
        <v>3.4966922516454142</v>
      </c>
    </row>
    <row r="255" spans="2:11">
      <c r="B255" s="93" t="s">
        <v>1019</v>
      </c>
      <c r="C255" s="35" t="s">
        <v>1020</v>
      </c>
      <c r="D255" s="35" t="s">
        <v>4</v>
      </c>
      <c r="E255" s="481">
        <f>'CtL(CCS)'!N39</f>
        <v>4.8583216022596888E-3</v>
      </c>
      <c r="F255" s="481">
        <f>'CtL(CCS)'!O39</f>
        <v>1.4869838379284615E-3</v>
      </c>
      <c r="G255" s="346">
        <f>'CtL(CCS)'!P39</f>
        <v>0</v>
      </c>
      <c r="H255" s="347">
        <f>'CtL(CCS)'!Q39</f>
        <v>0</v>
      </c>
      <c r="I255" s="481">
        <f>'CtL(CCS)'!R39</f>
        <v>3.4743223043014068E-4</v>
      </c>
      <c r="J255" s="481">
        <f>'CtL(CCS)'!S39</f>
        <v>0</v>
      </c>
      <c r="K255" s="347">
        <f>'CtL(CCS)'!T39</f>
        <v>6.6927376706182916E-3</v>
      </c>
    </row>
    <row r="256" spans="2:11">
      <c r="B256" s="93" t="s">
        <v>1021</v>
      </c>
      <c r="C256" s="35" t="s">
        <v>1022</v>
      </c>
      <c r="D256" s="35" t="s">
        <v>4</v>
      </c>
      <c r="E256" s="481">
        <f>'CtL(CCS)'!N40</f>
        <v>6.3786684298073829E-3</v>
      </c>
      <c r="F256" s="481">
        <f>'CtL(CCS)'!O40</f>
        <v>2.792110493243272E-2</v>
      </c>
      <c r="G256" s="346">
        <f>'CtL(CCS)'!P40</f>
        <v>0</v>
      </c>
      <c r="H256" s="347">
        <f>'CtL(CCS)'!Q40</f>
        <v>0</v>
      </c>
      <c r="I256" s="481">
        <f>'CtL(CCS)'!R40</f>
        <v>4.6863196254656658E-3</v>
      </c>
      <c r="J256" s="481">
        <f>'CtL(CCS)'!S40</f>
        <v>0</v>
      </c>
      <c r="K256" s="347">
        <f>'CtL(CCS)'!T40</f>
        <v>3.8986092987705771E-2</v>
      </c>
    </row>
    <row r="257" spans="1:11">
      <c r="B257" s="93" t="s">
        <v>1023</v>
      </c>
      <c r="C257" s="35" t="s">
        <v>1024</v>
      </c>
      <c r="D257" s="35" t="s">
        <v>4</v>
      </c>
      <c r="E257" s="481">
        <f>'CtL(CCS)'!N41</f>
        <v>0.17459640966906559</v>
      </c>
      <c r="F257" s="481">
        <f>'CtL(CCS)'!O41</f>
        <v>3.4874725573428966E-2</v>
      </c>
      <c r="G257" s="346">
        <f>'CtL(CCS)'!P41</f>
        <v>1.3255813953488373</v>
      </c>
      <c r="H257" s="347">
        <f>'CtL(CCS)'!Q41</f>
        <v>0</v>
      </c>
      <c r="I257" s="481">
        <f>'CtL(CCS)'!R41</f>
        <v>7.3185517124066384E-3</v>
      </c>
      <c r="J257" s="481">
        <f>'CtL(CCS)'!S41</f>
        <v>1</v>
      </c>
      <c r="K257" s="347">
        <f>'CtL(CCS)'!T41</f>
        <v>2.5423710823037382</v>
      </c>
    </row>
    <row r="258" spans="1:11">
      <c r="B258" s="93"/>
      <c r="C258" s="35"/>
      <c r="D258" s="35"/>
      <c r="E258" s="481"/>
      <c r="F258" s="481"/>
      <c r="G258" s="346"/>
      <c r="H258" s="347"/>
      <c r="I258" s="481"/>
      <c r="J258" s="481"/>
      <c r="K258" s="347"/>
    </row>
    <row r="259" spans="1:11">
      <c r="B259" s="93" t="s">
        <v>1025</v>
      </c>
      <c r="C259" s="35" t="s">
        <v>1026</v>
      </c>
      <c r="D259" s="35" t="s">
        <v>9</v>
      </c>
      <c r="E259" s="481">
        <f>'CtL(CCS)'!N43</f>
        <v>14.077508610927584</v>
      </c>
      <c r="F259" s="481">
        <f>'CtL(CCS)'!O43</f>
        <v>2.5524002214240564</v>
      </c>
      <c r="G259" s="346">
        <f>'CtL(CCS)'!P43</f>
        <v>115.56511627906978</v>
      </c>
      <c r="H259" s="347">
        <f>'CtL(CCS)'!Q43</f>
        <v>-82.172190669371219</v>
      </c>
      <c r="I259" s="481">
        <f>'CtL(CCS)'!R43</f>
        <v>0.55806620693335285</v>
      </c>
      <c r="J259" s="481">
        <f>'CtL(CCS)'!S43</f>
        <v>74.3</v>
      </c>
      <c r="K259" s="347">
        <f>'CtL(CCS)'!T43</f>
        <v>124.88090064898356</v>
      </c>
    </row>
    <row r="260" spans="1:11">
      <c r="B260" s="93" t="s">
        <v>1027</v>
      </c>
      <c r="C260" s="35" t="s">
        <v>1028</v>
      </c>
      <c r="D260" s="35" t="s">
        <v>9</v>
      </c>
      <c r="E260" s="481">
        <f>'CtL(CCS)'!N44</f>
        <v>1.0111130638118682</v>
      </c>
      <c r="F260" s="481">
        <f>'CtL(CCS)'!O44</f>
        <v>2.8461167685231731E-3</v>
      </c>
      <c r="G260" s="346">
        <f>'CtL(CCS)'!P44</f>
        <v>2.3255813953488376E-3</v>
      </c>
      <c r="H260" s="347">
        <f>'CtL(CCS)'!Q44</f>
        <v>0</v>
      </c>
      <c r="I260" s="481">
        <f>'CtL(CCS)'!R44</f>
        <v>1.0085557508089156E-3</v>
      </c>
      <c r="J260" s="481">
        <f>'CtL(CCS)'!S44</f>
        <v>0</v>
      </c>
      <c r="K260" s="347">
        <f>'CtL(CCS)'!T44</f>
        <v>1.0172933177265491</v>
      </c>
    </row>
    <row r="261" spans="1:11">
      <c r="B261" s="93" t="s">
        <v>1029</v>
      </c>
      <c r="C261" s="35" t="s">
        <v>1030</v>
      </c>
      <c r="D261" s="35" t="s">
        <v>10</v>
      </c>
      <c r="E261" s="481">
        <f>'CtL(CCS)'!N45</f>
        <v>3.0493373678354782E-4</v>
      </c>
      <c r="F261" s="481">
        <f>'CtL(CCS)'!O45</f>
        <v>5.8430207208799646E-4</v>
      </c>
      <c r="G261" s="346">
        <f>'CtL(CCS)'!P45</f>
        <v>2.3255813953488376E-3</v>
      </c>
      <c r="H261" s="347">
        <f>'CtL(CCS)'!Q45</f>
        <v>0</v>
      </c>
      <c r="I261" s="481">
        <f>'CtL(CCS)'!R45</f>
        <v>1.8858934965282446E-5</v>
      </c>
      <c r="J261" s="481">
        <f>'CtL(CCS)'!S45</f>
        <v>0</v>
      </c>
      <c r="K261" s="347">
        <f>'CtL(CCS)'!T45</f>
        <v>3.2336761391856643E-3</v>
      </c>
    </row>
    <row r="262" spans="1:11">
      <c r="B262" s="101" t="s">
        <v>1031</v>
      </c>
      <c r="C262" s="102" t="s">
        <v>1032</v>
      </c>
      <c r="D262" s="102" t="s">
        <v>9</v>
      </c>
      <c r="E262" s="483">
        <f>'CtL(CCS)'!N46</f>
        <v>39.355426076477848</v>
      </c>
      <c r="F262" s="483">
        <f>'CtL(CCS)'!O46</f>
        <v>2.6237272626546182</v>
      </c>
      <c r="G262" s="482">
        <f>'CtL(CCS)'!P46</f>
        <v>115.62394883720933</v>
      </c>
      <c r="H262" s="349">
        <f>'CtL(CCS)'!Q46</f>
        <v>-82.172190669371219</v>
      </c>
      <c r="I262" s="483">
        <f>'CtL(CCS)'!R46</f>
        <v>0.58328572066619533</v>
      </c>
      <c r="J262" s="483">
        <f>'CtL(CCS)'!S46</f>
        <v>74.3</v>
      </c>
      <c r="K262" s="349">
        <f>'CtL(CCS)'!T46</f>
        <v>150.31419722763678</v>
      </c>
    </row>
    <row r="265" spans="1:11">
      <c r="A265" s="533" t="s">
        <v>1038</v>
      </c>
    </row>
    <row r="266" spans="1:11">
      <c r="B266" s="533" t="s">
        <v>1044</v>
      </c>
    </row>
    <row r="267" spans="1:11">
      <c r="B267" s="690"/>
      <c r="C267" s="107"/>
      <c r="D267" s="108"/>
      <c r="E267" s="694" t="s">
        <v>1046</v>
      </c>
      <c r="F267" s="694" t="s">
        <v>1047</v>
      </c>
      <c r="G267" s="694" t="s">
        <v>1048</v>
      </c>
      <c r="H267" s="694" t="s">
        <v>1049</v>
      </c>
      <c r="I267" s="694" t="s">
        <v>1050</v>
      </c>
      <c r="J267" s="691" t="s">
        <v>1052</v>
      </c>
    </row>
    <row r="268" spans="1:11">
      <c r="B268" s="93" t="s">
        <v>1017</v>
      </c>
      <c r="C268" s="93" t="s">
        <v>1018</v>
      </c>
      <c r="D268" s="35" t="s">
        <v>4</v>
      </c>
      <c r="E268" s="415">
        <v>0.10017189421988038</v>
      </c>
      <c r="F268" s="415">
        <v>1.8057152462377978E-3</v>
      </c>
      <c r="G268" s="415">
        <v>0.63394919466237187</v>
      </c>
      <c r="H268" s="415">
        <v>1.039857656784698E-3</v>
      </c>
      <c r="I268" s="415">
        <v>0</v>
      </c>
      <c r="J268" s="695">
        <f>SUM(E268:I268)</f>
        <v>0.73696666178527481</v>
      </c>
    </row>
    <row r="269" spans="1:11">
      <c r="B269" s="93" t="s">
        <v>1019</v>
      </c>
      <c r="C269" s="93" t="s">
        <v>1020</v>
      </c>
      <c r="D269" s="35" t="s">
        <v>4</v>
      </c>
      <c r="E269" s="415">
        <v>3.5258038509363945E-2</v>
      </c>
      <c r="F269" s="415">
        <v>1.2775100667965901E-3</v>
      </c>
      <c r="G269" s="415">
        <v>1.5668893039887642E-3</v>
      </c>
      <c r="H269" s="415">
        <v>7.3206589501277142E-4</v>
      </c>
      <c r="I269" s="415">
        <v>0</v>
      </c>
      <c r="J269" s="695">
        <f t="shared" ref="J269:J270" si="73">SUM(E269:I269)</f>
        <v>3.8834503775162073E-2</v>
      </c>
    </row>
    <row r="270" spans="1:11">
      <c r="B270" s="93" t="s">
        <v>1021</v>
      </c>
      <c r="C270" s="93" t="s">
        <v>1022</v>
      </c>
      <c r="D270" s="35" t="s">
        <v>4</v>
      </c>
      <c r="E270" s="415">
        <v>6.705477550894294E-2</v>
      </c>
      <c r="F270" s="415">
        <v>2.9674466371429259E-2</v>
      </c>
      <c r="G270" s="415">
        <v>8.7083924944593993E-3</v>
      </c>
      <c r="H270" s="415">
        <v>1.6969943913557946E-2</v>
      </c>
      <c r="I270" s="415">
        <v>0</v>
      </c>
      <c r="J270" s="695">
        <f t="shared" si="73"/>
        <v>0.12240757828838955</v>
      </c>
    </row>
    <row r="271" spans="1:11">
      <c r="B271" s="93" t="s">
        <v>1023</v>
      </c>
      <c r="C271" s="93" t="s">
        <v>1024</v>
      </c>
      <c r="D271" s="35" t="s">
        <v>4</v>
      </c>
      <c r="E271" s="415">
        <f>E268+E269+E270</f>
        <v>0.20248470823818726</v>
      </c>
      <c r="F271" s="415">
        <f t="shared" ref="F271:I271" si="74">F268+F269+F270</f>
        <v>3.2757691684463644E-2</v>
      </c>
      <c r="G271" s="415">
        <f t="shared" si="74"/>
        <v>0.64422447646082004</v>
      </c>
      <c r="H271" s="415">
        <f t="shared" si="74"/>
        <v>1.8741867465355416E-2</v>
      </c>
      <c r="I271" s="415">
        <f t="shared" si="74"/>
        <v>0</v>
      </c>
      <c r="J271" s="695">
        <f t="shared" ref="J271" si="75">SUM(E271:I271)</f>
        <v>0.89820874384882643</v>
      </c>
    </row>
    <row r="272" spans="1:11">
      <c r="B272" s="93"/>
      <c r="C272" s="93"/>
      <c r="D272" s="35"/>
      <c r="E272" s="35"/>
      <c r="F272" s="35"/>
      <c r="G272" s="35"/>
      <c r="H272" s="35"/>
      <c r="I272" s="35"/>
      <c r="J272" s="84"/>
    </row>
    <row r="273" spans="2:10">
      <c r="B273" s="93" t="s">
        <v>1025</v>
      </c>
      <c r="C273" s="93" t="s">
        <v>1026</v>
      </c>
      <c r="D273" s="35" t="s">
        <v>9</v>
      </c>
      <c r="E273" s="415">
        <v>15.050942868398248</v>
      </c>
      <c r="F273" s="415">
        <v>2.3715155777227133</v>
      </c>
      <c r="G273" s="415">
        <v>52.477077263041572</v>
      </c>
      <c r="H273" s="415">
        <v>1.3347828159350266</v>
      </c>
      <c r="I273" s="35">
        <v>0</v>
      </c>
      <c r="J273" s="695">
        <f>SUM(E273:I273)</f>
        <v>71.234318525097564</v>
      </c>
    </row>
    <row r="274" spans="2:10">
      <c r="B274" s="93" t="s">
        <v>1027</v>
      </c>
      <c r="C274" s="93" t="s">
        <v>1028</v>
      </c>
      <c r="D274" s="35" t="s">
        <v>9</v>
      </c>
      <c r="E274" s="415">
        <v>4.4457480998957216E-2</v>
      </c>
      <c r="F274" s="415">
        <v>1.2099929997236507E-3</v>
      </c>
      <c r="G274" s="415">
        <v>0.25828351232021174</v>
      </c>
      <c r="H274" s="415">
        <v>1.0540902852612542E-3</v>
      </c>
      <c r="I274" s="35">
        <v>0</v>
      </c>
      <c r="J274" s="695">
        <f t="shared" ref="J274:J275" si="76">SUM(E274:I274)</f>
        <v>0.30500507660415388</v>
      </c>
    </row>
    <row r="275" spans="2:10">
      <c r="B275" s="93" t="s">
        <v>1029</v>
      </c>
      <c r="C275" s="93" t="s">
        <v>1030</v>
      </c>
      <c r="D275" s="35" t="s">
        <v>10</v>
      </c>
      <c r="E275" s="415">
        <v>29.819803610870494</v>
      </c>
      <c r="F275" s="415">
        <v>7.3501404505085376E-4</v>
      </c>
      <c r="G275" s="415">
        <v>8.1697982189925234E-4</v>
      </c>
      <c r="H275" s="415">
        <v>2.9674699089189498E-4</v>
      </c>
      <c r="I275" s="35">
        <v>0</v>
      </c>
      <c r="J275" s="695">
        <f t="shared" si="76"/>
        <v>29.821652351728336</v>
      </c>
    </row>
    <row r="276" spans="2:10">
      <c r="B276" s="101" t="s">
        <v>1031</v>
      </c>
      <c r="C276" s="101" t="s">
        <v>1032</v>
      </c>
      <c r="D276" s="102" t="s">
        <v>9</v>
      </c>
      <c r="E276" s="103">
        <f>E273+25*E274+0.298*E275</f>
        <v>25.048681369411586</v>
      </c>
      <c r="F276" s="103">
        <f t="shared" ref="F276:I276" si="77">F273+25*F274+0.298*F275</f>
        <v>2.4019844369012295</v>
      </c>
      <c r="G276" s="103">
        <f t="shared" si="77"/>
        <v>58.934408531033789</v>
      </c>
      <c r="H276" s="103">
        <f t="shared" si="77"/>
        <v>1.3612235036698437</v>
      </c>
      <c r="I276" s="103">
        <f t="shared" si="77"/>
        <v>0</v>
      </c>
      <c r="J276" s="103">
        <f>J273+25*J274+0.298*J275</f>
        <v>87.746297841016457</v>
      </c>
    </row>
    <row r="279" spans="2:10">
      <c r="B279" s="533" t="s">
        <v>1045</v>
      </c>
    </row>
    <row r="280" spans="2:10">
      <c r="B280" s="690"/>
      <c r="C280" s="108"/>
      <c r="D280" s="108"/>
      <c r="E280" s="694" t="s">
        <v>1046</v>
      </c>
      <c r="F280" s="694" t="s">
        <v>1047</v>
      </c>
      <c r="G280" s="694" t="s">
        <v>1048</v>
      </c>
      <c r="H280" s="694" t="s">
        <v>1049</v>
      </c>
      <c r="I280" s="694" t="s">
        <v>1050</v>
      </c>
      <c r="J280" s="691" t="s">
        <v>1051</v>
      </c>
    </row>
    <row r="281" spans="2:10">
      <c r="B281" s="93" t="s">
        <v>1017</v>
      </c>
      <c r="C281" s="35" t="s">
        <v>1018</v>
      </c>
      <c r="D281" s="35" t="s">
        <v>4</v>
      </c>
      <c r="E281" s="415">
        <v>7.5656347783960923E-2</v>
      </c>
      <c r="F281" s="415">
        <v>5.3319783289103334E-2</v>
      </c>
      <c r="G281" s="415">
        <v>0.20336599689357782</v>
      </c>
      <c r="H281" s="415">
        <v>2.8443998440144378E-3</v>
      </c>
      <c r="I281" s="415">
        <v>0</v>
      </c>
      <c r="J281" s="695">
        <f>SUM(E281:I281)</f>
        <v>0.3351865278106565</v>
      </c>
    </row>
    <row r="282" spans="2:10">
      <c r="B282" s="93" t="s">
        <v>1019</v>
      </c>
      <c r="C282" s="35" t="s">
        <v>1020</v>
      </c>
      <c r="D282" s="35" t="s">
        <v>4</v>
      </c>
      <c r="E282" s="415">
        <v>4.7440059282588945E-2</v>
      </c>
      <c r="F282" s="415">
        <v>2.9391675866127401E-3</v>
      </c>
      <c r="G282" s="415">
        <v>0.20012234036909471</v>
      </c>
      <c r="H282" s="415">
        <v>1.5781623481347806E-4</v>
      </c>
      <c r="I282" s="415">
        <v>0</v>
      </c>
      <c r="J282" s="695">
        <f t="shared" ref="J282:J284" si="78">SUM(E282:I282)</f>
        <v>0.2506593834731099</v>
      </c>
    </row>
    <row r="283" spans="2:10">
      <c r="B283" s="93" t="s">
        <v>1021</v>
      </c>
      <c r="C283" s="35" t="s">
        <v>1022</v>
      </c>
      <c r="D283" s="35" t="s">
        <v>4</v>
      </c>
      <c r="E283" s="415">
        <v>1.5195699317116626E-2</v>
      </c>
      <c r="F283" s="415">
        <v>2.0794065884547201E-3</v>
      </c>
      <c r="G283" s="415">
        <v>4.9462883974564237E-4</v>
      </c>
      <c r="H283" s="415">
        <v>1.1110355579195904E-4</v>
      </c>
      <c r="I283" s="415">
        <v>0</v>
      </c>
      <c r="J283" s="695">
        <f t="shared" si="78"/>
        <v>1.7880838301108946E-2</v>
      </c>
    </row>
    <row r="284" spans="2:10">
      <c r="B284" s="93" t="s">
        <v>1023</v>
      </c>
      <c r="C284" s="35" t="s">
        <v>1024</v>
      </c>
      <c r="D284" s="35" t="s">
        <v>4</v>
      </c>
      <c r="E284" s="415">
        <f>E281+E282+E283</f>
        <v>0.13829210638366649</v>
      </c>
      <c r="F284" s="415">
        <f t="shared" ref="F284:I284" si="79">F281+F282+F283</f>
        <v>5.8338357464170792E-2</v>
      </c>
      <c r="G284" s="415">
        <f t="shared" si="79"/>
        <v>0.40398296610241818</v>
      </c>
      <c r="H284" s="415">
        <f t="shared" si="79"/>
        <v>3.1133196346198747E-3</v>
      </c>
      <c r="I284" s="415">
        <f t="shared" si="79"/>
        <v>0</v>
      </c>
      <c r="J284" s="695">
        <f t="shared" si="78"/>
        <v>0.60372674958487538</v>
      </c>
    </row>
    <row r="285" spans="2:10">
      <c r="B285" s="93"/>
      <c r="C285" s="35"/>
      <c r="D285" s="35"/>
      <c r="E285" s="35"/>
      <c r="F285" s="35"/>
      <c r="G285" s="35"/>
      <c r="H285" s="35"/>
      <c r="I285" s="35"/>
      <c r="J285" s="84"/>
    </row>
    <row r="286" spans="2:10">
      <c r="B286" s="93" t="s">
        <v>1025</v>
      </c>
      <c r="C286" s="35" t="s">
        <v>1026</v>
      </c>
      <c r="D286" s="35" t="s">
        <v>9</v>
      </c>
      <c r="E286" s="415">
        <v>5.6829316773093446</v>
      </c>
      <c r="F286" s="415">
        <v>3.8601223153608215</v>
      </c>
      <c r="G286" s="415">
        <v>16.565736822495289</v>
      </c>
      <c r="H286" s="415">
        <v>0.60772855860659214</v>
      </c>
      <c r="I286" s="415">
        <v>0</v>
      </c>
      <c r="J286" s="695">
        <f>SUM(E286:I286)</f>
        <v>26.716519373772048</v>
      </c>
    </row>
    <row r="287" spans="2:10">
      <c r="B287" s="93" t="s">
        <v>1027</v>
      </c>
      <c r="C287" s="35" t="s">
        <v>1028</v>
      </c>
      <c r="D287" s="35" t="s">
        <v>9</v>
      </c>
      <c r="E287" s="415">
        <v>2.0587473597251646E-2</v>
      </c>
      <c r="F287" s="415">
        <v>1.9695088759015367E-3</v>
      </c>
      <c r="G287" s="415">
        <v>8.1533822267569556E-2</v>
      </c>
      <c r="H287" s="415">
        <v>4.7992884089857524E-4</v>
      </c>
      <c r="I287" s="415">
        <v>0</v>
      </c>
      <c r="J287" s="695">
        <f t="shared" ref="J287:J288" si="80">SUM(E287:I287)</f>
        <v>0.10457073358162132</v>
      </c>
    </row>
    <row r="288" spans="2:10">
      <c r="B288" s="93" t="s">
        <v>1029</v>
      </c>
      <c r="C288" s="35" t="s">
        <v>1030</v>
      </c>
      <c r="D288" s="35" t="s">
        <v>10</v>
      </c>
      <c r="E288" s="415">
        <v>18.891104018687166</v>
      </c>
      <c r="F288" s="415">
        <v>1.1963843476537207E-3</v>
      </c>
      <c r="G288" s="415">
        <v>2.5790065729143968E-4</v>
      </c>
      <c r="H288" s="415">
        <v>1.3510933680940747E-4</v>
      </c>
      <c r="I288" s="415">
        <v>0</v>
      </c>
      <c r="J288" s="695">
        <f t="shared" si="80"/>
        <v>18.892693413028923</v>
      </c>
    </row>
    <row r="289" spans="2:10">
      <c r="B289" s="101" t="s">
        <v>1031</v>
      </c>
      <c r="C289" s="102" t="s">
        <v>1032</v>
      </c>
      <c r="D289" s="102" t="s">
        <v>9</v>
      </c>
      <c r="E289" s="103">
        <f>E286+25*E287+0.298*E288</f>
        <v>11.82716751480941</v>
      </c>
      <c r="F289" s="103">
        <f t="shared" ref="F289" si="81">F286+25*F287+0.298*F288</f>
        <v>3.9097165597939605</v>
      </c>
      <c r="G289" s="103">
        <f t="shared" ref="G289" si="82">G286+25*G287+0.298*G288</f>
        <v>18.6041592335804</v>
      </c>
      <c r="H289" s="103">
        <f t="shared" ref="H289" si="83">H286+25*H287+0.298*H288</f>
        <v>0.61976704221142576</v>
      </c>
      <c r="I289" s="103">
        <f t="shared" ref="I289" si="84">I286+25*I287+0.298*I288</f>
        <v>0</v>
      </c>
      <c r="J289" s="103">
        <f t="shared" ref="J289" si="85">J286+25*J287+0.298*J288</f>
        <v>34.960810350395199</v>
      </c>
    </row>
  </sheetData>
  <phoneticPr fontId="40" type="noConversion"/>
  <hyperlinks>
    <hyperlink ref="A1" location="'Key Output'!A7" display="天然气路线"/>
    <hyperlink ref="A2" location="'Key Output'!A86" display="石油基路线"/>
    <hyperlink ref="A3" location="'Key Output'!A127" display="电力路线"/>
    <hyperlink ref="A4" location="'Key Output'!A190" display="煤基路线"/>
    <hyperlink ref="A5" location="'Key Output'!A229" display="生物燃料路线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48"/>
  <sheetViews>
    <sheetView topLeftCell="A31" zoomScale="90" zoomScaleNormal="90" workbookViewId="0">
      <selection activeCell="AU21" sqref="AU21"/>
    </sheetView>
  </sheetViews>
  <sheetFormatPr defaultRowHeight="14.4"/>
  <cols>
    <col min="4" max="4" width="12.6640625" customWidth="1"/>
    <col min="10" max="10" width="12.88671875" bestFit="1" customWidth="1"/>
    <col min="11" max="11" width="11.6640625" bestFit="1" customWidth="1"/>
    <col min="16" max="16" width="9.44140625" bestFit="1" customWidth="1"/>
    <col min="17" max="18" width="12.77734375" bestFit="1" customWidth="1"/>
    <col min="19" max="19" width="9" bestFit="1" customWidth="1"/>
    <col min="20" max="20" width="9" customWidth="1"/>
    <col min="21" max="21" width="9.44140625" bestFit="1" customWidth="1"/>
    <col min="22" max="22" width="9.44140625" customWidth="1"/>
    <col min="28" max="29" width="12.77734375" bestFit="1" customWidth="1"/>
    <col min="30" max="30" width="12.77734375" customWidth="1"/>
    <col min="31" max="31" width="9.44140625" bestFit="1" customWidth="1"/>
    <col min="32" max="40" width="9.44140625" customWidth="1"/>
    <col min="43" max="43" width="9.44140625" bestFit="1" customWidth="1"/>
    <col min="44" max="44" width="9.44140625" customWidth="1"/>
    <col min="45" max="45" width="12.77734375" bestFit="1" customWidth="1"/>
    <col min="48" max="48" width="9.44140625" bestFit="1" customWidth="1"/>
    <col min="49" max="49" width="10.44140625" bestFit="1" customWidth="1"/>
    <col min="59" max="59" width="9.44140625" bestFit="1" customWidth="1"/>
  </cols>
  <sheetData>
    <row r="1" spans="1:59" ht="15" thickBot="1">
      <c r="A1" s="36" t="s">
        <v>456</v>
      </c>
      <c r="B1" s="37" t="s">
        <v>438</v>
      </c>
      <c r="C1" s="37">
        <f>47.7</f>
        <v>47.7</v>
      </c>
      <c r="D1" s="37" t="s">
        <v>457</v>
      </c>
      <c r="E1" s="37"/>
      <c r="F1" s="37"/>
      <c r="G1" s="38"/>
      <c r="J1" s="368" t="s">
        <v>477</v>
      </c>
      <c r="O1" s="368" t="s">
        <v>497</v>
      </c>
      <c r="W1" s="451" t="s">
        <v>598</v>
      </c>
      <c r="X1" t="str">
        <f>'fuel summary'!$C$34</f>
        <v>进口LNG</v>
      </c>
      <c r="AF1" s="451" t="s">
        <v>599</v>
      </c>
      <c r="AG1" t="str">
        <f>'fuel summary'!$C$47</f>
        <v>国产气田产LNG</v>
      </c>
      <c r="AO1" s="451" t="s">
        <v>611</v>
      </c>
      <c r="AP1" t="str">
        <f>'fuel summary'!$C$60</f>
        <v>管输气产LNG</v>
      </c>
      <c r="AY1" s="368" t="s">
        <v>506</v>
      </c>
    </row>
    <row r="2" spans="1:59">
      <c r="A2" s="39"/>
      <c r="B2" s="35" t="s">
        <v>447</v>
      </c>
      <c r="C2" s="35">
        <v>40.99</v>
      </c>
      <c r="D2" s="35" t="s">
        <v>458</v>
      </c>
      <c r="E2" s="35"/>
      <c r="F2" s="35"/>
      <c r="G2" s="40"/>
      <c r="H2" s="36"/>
      <c r="I2" s="37"/>
      <c r="J2" s="369" t="s">
        <v>459</v>
      </c>
      <c r="K2" s="370" t="s">
        <v>460</v>
      </c>
      <c r="L2" s="363" t="s">
        <v>509</v>
      </c>
      <c r="N2" s="36"/>
      <c r="O2" s="37"/>
      <c r="P2" s="369" t="s">
        <v>459</v>
      </c>
      <c r="Q2" s="369" t="s">
        <v>460</v>
      </c>
      <c r="R2" s="369" t="s">
        <v>461</v>
      </c>
      <c r="S2" s="370" t="s">
        <v>510</v>
      </c>
      <c r="T2" s="363" t="s">
        <v>509</v>
      </c>
      <c r="W2" s="36"/>
      <c r="X2" s="37"/>
      <c r="Y2" s="369" t="s">
        <v>459</v>
      </c>
      <c r="Z2" s="369" t="s">
        <v>498</v>
      </c>
      <c r="AA2" s="369"/>
      <c r="AB2" s="369" t="s">
        <v>499</v>
      </c>
      <c r="AC2" s="370" t="s">
        <v>500</v>
      </c>
      <c r="AD2" s="363" t="s">
        <v>509</v>
      </c>
      <c r="AF2" s="36"/>
      <c r="AG2" s="37"/>
      <c r="AH2" s="411" t="s">
        <v>459</v>
      </c>
      <c r="AI2" s="411" t="s">
        <v>498</v>
      </c>
      <c r="AJ2" s="411"/>
      <c r="AK2" s="414" t="s">
        <v>500</v>
      </c>
      <c r="AL2" s="403" t="s">
        <v>509</v>
      </c>
      <c r="AO2" s="36"/>
      <c r="AP2" s="37"/>
      <c r="AQ2" s="411" t="s">
        <v>459</v>
      </c>
      <c r="AR2" s="456" t="s">
        <v>610</v>
      </c>
      <c r="AS2" s="411" t="s">
        <v>498</v>
      </c>
      <c r="AT2" s="411"/>
      <c r="AU2" s="414" t="s">
        <v>500</v>
      </c>
      <c r="AV2" s="403" t="s">
        <v>509</v>
      </c>
      <c r="AY2" s="36"/>
      <c r="AZ2" s="37"/>
      <c r="BA2" s="369" t="str">
        <f>J2</f>
        <v>NG开采处理阶段</v>
      </c>
      <c r="BB2" s="369" t="str">
        <f>Q2</f>
        <v>NG运输阶段</v>
      </c>
      <c r="BC2" s="369" t="s">
        <v>507</v>
      </c>
      <c r="BD2" s="369"/>
      <c r="BE2" s="370" t="s">
        <v>508</v>
      </c>
      <c r="BF2" s="363" t="s">
        <v>509</v>
      </c>
    </row>
    <row r="3" spans="1:59" ht="15" thickBot="1">
      <c r="A3" s="39"/>
      <c r="B3" s="35"/>
      <c r="C3" s="35"/>
      <c r="D3" s="35"/>
      <c r="E3" s="35"/>
      <c r="F3" s="35"/>
      <c r="G3" s="40"/>
      <c r="H3" s="39"/>
      <c r="I3" s="365" t="s">
        <v>481</v>
      </c>
      <c r="J3" s="35">
        <v>1</v>
      </c>
      <c r="K3" s="40">
        <v>1</v>
      </c>
      <c r="N3" s="39"/>
      <c r="O3" s="35"/>
      <c r="P3" s="360">
        <v>1</v>
      </c>
      <c r="Q3" s="360">
        <v>1</v>
      </c>
      <c r="R3" s="528">
        <f>1-D15</f>
        <v>0.999</v>
      </c>
      <c r="S3" s="525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  <c r="AY3" s="39"/>
      <c r="AZ3" s="35"/>
      <c r="BA3" s="35">
        <v>1</v>
      </c>
      <c r="BB3" s="35">
        <v>1</v>
      </c>
      <c r="BC3" s="35">
        <v>0.75</v>
      </c>
      <c r="BD3" s="35"/>
      <c r="BE3" s="40">
        <v>1</v>
      </c>
    </row>
    <row r="4" spans="1:59" ht="15" thickBot="1">
      <c r="A4" s="36" t="s">
        <v>433</v>
      </c>
      <c r="B4" s="37" t="s">
        <v>435</v>
      </c>
      <c r="C4" s="37"/>
      <c r="D4" s="412">
        <f>'Key Input'!E4</f>
        <v>0.96</v>
      </c>
      <c r="E4" s="37"/>
      <c r="F4" s="37"/>
      <c r="G4" s="38"/>
      <c r="H4" s="39"/>
      <c r="I4" s="365" t="s">
        <v>463</v>
      </c>
      <c r="J4" s="527" t="s">
        <v>691</v>
      </c>
      <c r="K4" s="40" t="s">
        <v>464</v>
      </c>
      <c r="N4" s="39"/>
      <c r="O4" s="365" t="s">
        <v>479</v>
      </c>
      <c r="P4" s="365" t="s">
        <v>462</v>
      </c>
      <c r="Q4" s="365" t="s">
        <v>464</v>
      </c>
      <c r="R4" s="364" t="s">
        <v>465</v>
      </c>
      <c r="S4" s="379" t="s">
        <v>478</v>
      </c>
      <c r="W4" s="39"/>
      <c r="X4" s="365" t="s">
        <v>479</v>
      </c>
      <c r="Y4" s="365" t="s">
        <v>462</v>
      </c>
      <c r="Z4" s="365" t="s">
        <v>501</v>
      </c>
      <c r="AA4" s="365"/>
      <c r="AB4" s="364" t="s">
        <v>465</v>
      </c>
      <c r="AC4" s="379" t="s">
        <v>478</v>
      </c>
      <c r="AF4" s="39"/>
      <c r="AG4" s="407" t="s">
        <v>463</v>
      </c>
      <c r="AH4" s="407" t="s">
        <v>462</v>
      </c>
      <c r="AI4" s="407" t="s">
        <v>465</v>
      </c>
      <c r="AJ4" s="407"/>
      <c r="AK4" s="379" t="s">
        <v>478</v>
      </c>
      <c r="AO4" s="39"/>
      <c r="AP4" s="407" t="s">
        <v>463</v>
      </c>
      <c r="AQ4" s="407" t="s">
        <v>462</v>
      </c>
      <c r="AR4" s="453" t="s">
        <v>613</v>
      </c>
      <c r="AS4" s="407" t="s">
        <v>465</v>
      </c>
      <c r="AT4" s="407"/>
      <c r="AU4" s="379" t="s">
        <v>478</v>
      </c>
      <c r="AY4" s="39"/>
      <c r="AZ4" s="365" t="s">
        <v>479</v>
      </c>
      <c r="BA4" s="365" t="s">
        <v>462</v>
      </c>
      <c r="BB4" s="365" t="s">
        <v>501</v>
      </c>
      <c r="BC4" s="365"/>
      <c r="BD4" s="365"/>
      <c r="BE4" s="379" t="s">
        <v>478</v>
      </c>
    </row>
    <row r="5" spans="1:59" ht="15" thickBot="1">
      <c r="A5" s="39"/>
      <c r="B5" s="35" t="str">
        <f>'Key Input'!B6</f>
        <v>NG开采CH4逸散比例</v>
      </c>
      <c r="C5" s="35"/>
      <c r="D5" s="447">
        <f>'Key Input'!E6</f>
        <v>3.4344000000000002E-3</v>
      </c>
      <c r="E5" s="35" t="s">
        <v>649</v>
      </c>
      <c r="F5" s="447">
        <f>0.072*47.7/1000</f>
        <v>3.4344000000000002E-3</v>
      </c>
      <c r="G5" s="40"/>
      <c r="H5" s="39"/>
      <c r="I5" s="453"/>
      <c r="J5" s="453"/>
      <c r="K5" s="371"/>
      <c r="N5" s="39"/>
      <c r="O5" s="453"/>
      <c r="P5" s="453"/>
      <c r="Q5" s="453"/>
      <c r="R5" s="454"/>
      <c r="S5" s="379"/>
      <c r="W5" s="39"/>
      <c r="X5" s="453"/>
      <c r="Y5" s="453"/>
      <c r="Z5" s="453"/>
      <c r="AA5" s="453"/>
      <c r="AB5" s="454"/>
      <c r="AC5" s="379"/>
      <c r="AF5" s="39"/>
      <c r="AG5" s="453"/>
      <c r="AH5" s="453"/>
      <c r="AI5" s="453"/>
      <c r="AJ5" s="453"/>
      <c r="AK5" s="379"/>
      <c r="AO5" s="39"/>
      <c r="AP5" s="453"/>
      <c r="AQ5" s="453"/>
      <c r="AR5" s="453"/>
      <c r="AS5" s="453"/>
      <c r="AT5" s="453"/>
      <c r="AU5" s="379"/>
      <c r="AY5" s="39"/>
      <c r="AZ5" s="453"/>
      <c r="BA5" s="453"/>
      <c r="BB5" s="453"/>
      <c r="BC5" s="453"/>
      <c r="BD5" s="453"/>
      <c r="BE5" s="379"/>
    </row>
    <row r="6" spans="1:59" ht="15" thickBot="1">
      <c r="A6" s="39"/>
      <c r="B6" s="35" t="s">
        <v>434</v>
      </c>
      <c r="C6" s="35"/>
      <c r="D6" s="412">
        <f>'Key Input'!E5</f>
        <v>0.94</v>
      </c>
      <c r="E6" s="35"/>
      <c r="F6" s="35"/>
      <c r="G6" s="40"/>
      <c r="H6" s="39"/>
      <c r="I6" s="365" t="s">
        <v>466</v>
      </c>
      <c r="J6" s="35" t="s">
        <v>471</v>
      </c>
      <c r="K6" s="371" t="s">
        <v>473</v>
      </c>
      <c r="N6" s="39"/>
      <c r="O6" s="365" t="s">
        <v>480</v>
      </c>
      <c r="P6" s="365" t="s">
        <v>471</v>
      </c>
      <c r="Q6" s="365" t="s">
        <v>473</v>
      </c>
      <c r="R6" s="364" t="s">
        <v>474</v>
      </c>
      <c r="S6" s="379" t="s">
        <v>474</v>
      </c>
      <c r="W6" s="39"/>
      <c r="X6" s="365" t="s">
        <v>480</v>
      </c>
      <c r="Y6" s="365" t="s">
        <v>471</v>
      </c>
      <c r="Z6" s="365" t="s">
        <v>473</v>
      </c>
      <c r="AA6" s="365"/>
      <c r="AB6" s="364" t="s">
        <v>474</v>
      </c>
      <c r="AC6" s="379" t="s">
        <v>474</v>
      </c>
      <c r="AF6" s="39"/>
      <c r="AG6" s="407" t="s">
        <v>466</v>
      </c>
      <c r="AH6" s="407" t="s">
        <v>471</v>
      </c>
      <c r="AI6" s="407" t="s">
        <v>473</v>
      </c>
      <c r="AJ6" s="407"/>
      <c r="AK6" s="506" t="s">
        <v>471</v>
      </c>
      <c r="AO6" s="39"/>
      <c r="AP6" s="407" t="s">
        <v>466</v>
      </c>
      <c r="AQ6" s="407" t="s">
        <v>471</v>
      </c>
      <c r="AR6" s="407"/>
      <c r="AS6" s="407" t="s">
        <v>473</v>
      </c>
      <c r="AT6" s="407"/>
      <c r="AU6" s="379" t="s">
        <v>471</v>
      </c>
      <c r="AY6" s="39"/>
      <c r="AZ6" s="365" t="s">
        <v>480</v>
      </c>
      <c r="BA6" s="365" t="s">
        <v>471</v>
      </c>
      <c r="BB6" s="365" t="s">
        <v>473</v>
      </c>
      <c r="BC6" s="365"/>
      <c r="BD6" s="365"/>
      <c r="BE6" s="379" t="s">
        <v>474</v>
      </c>
    </row>
    <row r="7" spans="1:59">
      <c r="A7" s="39"/>
      <c r="B7" s="35" t="s">
        <v>436</v>
      </c>
      <c r="C7" s="35"/>
      <c r="D7" s="362">
        <f>D4*D6</f>
        <v>0.90239999999999987</v>
      </c>
      <c r="E7" s="35"/>
      <c r="F7" s="35"/>
      <c r="G7" s="40"/>
      <c r="H7" s="39"/>
      <c r="I7" s="365" t="s">
        <v>467</v>
      </c>
      <c r="J7" s="372">
        <f>(1/D7-1)*E8*1000</f>
        <v>108.15602836879457</v>
      </c>
      <c r="K7" s="373">
        <f>D9*C12/47.7/1000*C10</f>
        <v>10.528301886792452</v>
      </c>
      <c r="N7" s="39"/>
      <c r="O7" s="365" t="s">
        <v>467</v>
      </c>
      <c r="P7" s="380">
        <f>J7</f>
        <v>108.15602836879457</v>
      </c>
      <c r="Q7" s="381">
        <f>D17*C12/47.7/1000*C10</f>
        <v>2.1056603773584905</v>
      </c>
      <c r="R7" s="529">
        <f>D15/(1-D15)*1000</f>
        <v>1.0010010010010011</v>
      </c>
      <c r="S7" s="40">
        <v>0</v>
      </c>
      <c r="W7" s="39"/>
      <c r="X7" s="365" t="s">
        <v>467</v>
      </c>
      <c r="Y7" s="380">
        <f>P7</f>
        <v>108.15602836879457</v>
      </c>
      <c r="Z7" s="534">
        <f>(1/D21-1)*E22*1000</f>
        <v>106.47450110864743</v>
      </c>
      <c r="AA7" s="381" t="s">
        <v>502</v>
      </c>
      <c r="AB7" s="380">
        <f>D39*D24/C1/1000</f>
        <v>21.069182389937104</v>
      </c>
      <c r="AC7" s="40"/>
      <c r="AF7" s="39"/>
      <c r="AG7" s="407" t="s">
        <v>467</v>
      </c>
      <c r="AH7" s="380">
        <f>Y7</f>
        <v>108.15602836879457</v>
      </c>
      <c r="AI7" s="380">
        <f>(1/D27-1)*E28*1000</f>
        <v>0</v>
      </c>
      <c r="AJ7" s="381" t="s">
        <v>502</v>
      </c>
      <c r="AK7" s="40"/>
      <c r="AO7" s="39"/>
      <c r="AP7" s="407" t="s">
        <v>467</v>
      </c>
      <c r="AQ7" s="380">
        <f>AH7</f>
        <v>108.15602836879457</v>
      </c>
      <c r="AR7" s="380">
        <f>D31/D9*K7</f>
        <v>10.528301886792452</v>
      </c>
      <c r="AS7" s="380">
        <f>(1/D32-1)*E33*1000</f>
        <v>0</v>
      </c>
      <c r="AT7" s="381" t="s">
        <v>502</v>
      </c>
      <c r="AU7" s="40"/>
      <c r="AY7" s="39"/>
      <c r="AZ7" s="365" t="s">
        <v>467</v>
      </c>
      <c r="BA7" s="385">
        <f>J7</f>
        <v>108.15602836879457</v>
      </c>
      <c r="BB7" s="381">
        <f>D47*C12/47.7/1000*C10</f>
        <v>0.70188679245283014</v>
      </c>
      <c r="BC7" s="535">
        <f>(1/D45-1+1)*1000</f>
        <v>1845.0184501845017</v>
      </c>
      <c r="BD7" s="386" t="s">
        <v>5</v>
      </c>
      <c r="BE7" s="38">
        <f>'T&amp;D'!C5</f>
        <v>0.51650816709968717</v>
      </c>
    </row>
    <row r="8" spans="1:59">
      <c r="A8" s="39"/>
      <c r="B8" s="35" t="s">
        <v>437</v>
      </c>
      <c r="C8" s="35"/>
      <c r="D8" s="35" t="s">
        <v>438</v>
      </c>
      <c r="E8" s="361">
        <v>1</v>
      </c>
      <c r="F8" s="407" t="s">
        <v>468</v>
      </c>
      <c r="G8" s="40"/>
      <c r="H8" s="39"/>
      <c r="I8" s="365" t="s">
        <v>472</v>
      </c>
      <c r="J8" s="372"/>
      <c r="K8" s="373">
        <f>D9*C12/47.7/1000*C11</f>
        <v>1.1698113207547169</v>
      </c>
      <c r="N8" s="39"/>
      <c r="O8" s="365" t="s">
        <v>472</v>
      </c>
      <c r="P8" s="380"/>
      <c r="Q8" s="381">
        <f>D17*C12/47.7/1000*C11</f>
        <v>0.2339622641509434</v>
      </c>
      <c r="R8" s="529">
        <f>D16*1000</f>
        <v>30.991744066047321</v>
      </c>
      <c r="S8" s="40">
        <v>0</v>
      </c>
      <c r="W8" s="39"/>
      <c r="X8" s="365" t="s">
        <v>472</v>
      </c>
      <c r="Y8" s="380"/>
      <c r="Z8" s="534">
        <f>(1/D21-1)*E23*1000</f>
        <v>2.1729490022172966</v>
      </c>
      <c r="AA8" s="381" t="s">
        <v>503</v>
      </c>
      <c r="AB8" s="380"/>
      <c r="AC8" s="380">
        <f>D40*D37/C1/1000</f>
        <v>5.2410901467505235</v>
      </c>
      <c r="AF8" s="39"/>
      <c r="AG8" s="407" t="s">
        <v>472</v>
      </c>
      <c r="AH8" s="380"/>
      <c r="AI8" s="529">
        <f>(1/D27-1)*E29*1000</f>
        <v>50.576004495644696</v>
      </c>
      <c r="AJ8" s="381" t="s">
        <v>503</v>
      </c>
      <c r="AK8" s="380">
        <f>AC8</f>
        <v>5.2410901467505235</v>
      </c>
      <c r="AO8" s="39"/>
      <c r="AP8" s="407" t="s">
        <v>472</v>
      </c>
      <c r="AQ8" s="380"/>
      <c r="AR8" s="380">
        <f>D31/D9*K8</f>
        <v>1.1698113207547169</v>
      </c>
      <c r="AS8" s="529">
        <f>(1/D32-1)*E34*1000</f>
        <v>50.530517911545388</v>
      </c>
      <c r="AT8" s="381" t="s">
        <v>503</v>
      </c>
      <c r="AU8" s="380">
        <f>AK8</f>
        <v>5.2410901467505235</v>
      </c>
      <c r="AY8" s="39"/>
      <c r="AZ8" s="365" t="s">
        <v>472</v>
      </c>
      <c r="BA8" s="365">
        <f>J8</f>
        <v>0</v>
      </c>
      <c r="BB8" s="381">
        <f>D47*C12/47.7/1000*C11</f>
        <v>7.7987421383647795E-2</v>
      </c>
      <c r="BC8" s="381">
        <v>0</v>
      </c>
      <c r="BD8" s="226" t="s">
        <v>6</v>
      </c>
      <c r="BE8" s="40">
        <f>0</f>
        <v>0</v>
      </c>
    </row>
    <row r="9" spans="1:59" ht="27.6">
      <c r="A9" s="39"/>
      <c r="B9" s="504" t="s">
        <v>476</v>
      </c>
      <c r="C9" s="35"/>
      <c r="D9" s="450">
        <v>1500</v>
      </c>
      <c r="E9" s="35" t="s">
        <v>448</v>
      </c>
      <c r="F9" s="35" t="s">
        <v>454</v>
      </c>
      <c r="G9" s="40"/>
      <c r="H9" s="39"/>
      <c r="I9" s="365" t="s">
        <v>482</v>
      </c>
      <c r="J9" s="372"/>
      <c r="K9" s="373"/>
      <c r="N9" s="39"/>
      <c r="O9" s="365" t="s">
        <v>483</v>
      </c>
      <c r="P9" s="35"/>
      <c r="Q9" s="35"/>
      <c r="R9" s="35"/>
      <c r="S9" s="40"/>
      <c r="W9" s="39"/>
      <c r="X9" s="365" t="s">
        <v>483</v>
      </c>
      <c r="Y9" s="35"/>
      <c r="Z9" s="360"/>
      <c r="AA9" s="35"/>
      <c r="AB9" s="35"/>
      <c r="AC9" s="40"/>
      <c r="AF9" s="39"/>
      <c r="AG9" s="407" t="s">
        <v>482</v>
      </c>
      <c r="AH9" s="35"/>
      <c r="AI9" s="35"/>
      <c r="AJ9" s="35"/>
      <c r="AK9" s="35"/>
      <c r="AO9" s="39"/>
      <c r="AP9" s="407" t="s">
        <v>482</v>
      </c>
      <c r="AQ9" s="35"/>
      <c r="AR9" s="35"/>
      <c r="AS9" s="35"/>
      <c r="AT9" s="35"/>
      <c r="AU9" s="380"/>
      <c r="AY9" s="39"/>
      <c r="AZ9" s="365" t="s">
        <v>483</v>
      </c>
      <c r="BA9" s="35"/>
      <c r="BB9" s="35"/>
      <c r="BC9" s="35"/>
      <c r="BD9" s="226" t="s">
        <v>7</v>
      </c>
      <c r="BE9" s="40">
        <f>'T&amp;D'!C6</f>
        <v>3.6591859249569119</v>
      </c>
    </row>
    <row r="10" spans="1:59" ht="15" thickBot="1">
      <c r="A10" s="39"/>
      <c r="B10" s="35"/>
      <c r="C10" s="361">
        <v>0.9</v>
      </c>
      <c r="D10" s="35" t="s">
        <v>597</v>
      </c>
      <c r="E10" s="35"/>
      <c r="F10" s="35"/>
      <c r="G10" s="40"/>
      <c r="H10" s="39"/>
      <c r="I10" s="35" t="str">
        <f>I7</f>
        <v>NG</v>
      </c>
      <c r="J10" s="372">
        <f>J7/K3</f>
        <v>108.15602836879457</v>
      </c>
      <c r="K10" s="373">
        <f>K7</f>
        <v>10.528301886792452</v>
      </c>
      <c r="N10" s="382"/>
      <c r="O10" s="365" t="s">
        <v>484</v>
      </c>
      <c r="P10" s="380">
        <f>P7/Q3/R3/S3</f>
        <v>108.26429266145603</v>
      </c>
      <c r="Q10" s="380">
        <f>Q7/R3/S3</f>
        <v>2.1077681455039947</v>
      </c>
      <c r="R10" s="380">
        <f>R7/S3</f>
        <v>1.0010010010010011</v>
      </c>
      <c r="S10" s="383">
        <f>S7</f>
        <v>0</v>
      </c>
      <c r="W10" s="382"/>
      <c r="X10" s="365" t="s">
        <v>484</v>
      </c>
      <c r="Y10" s="380">
        <f>Y7/Z3/AB3/AC3</f>
        <v>108.15602836879457</v>
      </c>
      <c r="Z10" s="380">
        <f>Z7/AB3/AC3</f>
        <v>106.47450110864743</v>
      </c>
      <c r="AA10" s="381" t="s">
        <v>502</v>
      </c>
      <c r="AB10" s="380">
        <f>AB7/AC3</f>
        <v>21.069182389937104</v>
      </c>
      <c r="AC10" s="383">
        <f>AC7</f>
        <v>0</v>
      </c>
      <c r="AF10" s="382"/>
      <c r="AG10" s="407" t="s">
        <v>433</v>
      </c>
      <c r="AH10" s="380">
        <f>Y10</f>
        <v>108.15602836879457</v>
      </c>
      <c r="AI10" s="380">
        <f>AI7/AK3</f>
        <v>0</v>
      </c>
      <c r="AJ10" s="381" t="s">
        <v>502</v>
      </c>
      <c r="AK10" s="380">
        <f>AC10</f>
        <v>0</v>
      </c>
      <c r="AO10" s="382"/>
      <c r="AP10" s="407" t="s">
        <v>433</v>
      </c>
      <c r="AQ10" s="380">
        <f>AH10</f>
        <v>108.15602836879457</v>
      </c>
      <c r="AR10" s="380">
        <f>D31/D9*K10</f>
        <v>10.528301886792452</v>
      </c>
      <c r="AS10" s="380">
        <f>AS7/AU3</f>
        <v>0</v>
      </c>
      <c r="AT10" s="381" t="s">
        <v>502</v>
      </c>
      <c r="AU10" s="380">
        <f>AK10</f>
        <v>0</v>
      </c>
      <c r="AY10" s="382"/>
      <c r="AZ10" s="365" t="s">
        <v>484</v>
      </c>
      <c r="BA10" s="385">
        <f>J10/BB3/BC3/BE3</f>
        <v>144.20803782505942</v>
      </c>
      <c r="BB10" s="380">
        <f>BB7/BC3/BE3</f>
        <v>0.93584905660377349</v>
      </c>
      <c r="BC10" s="381">
        <f>BC7/BE3</f>
        <v>1845.0184501845017</v>
      </c>
      <c r="BD10" s="387" t="s">
        <v>8</v>
      </c>
      <c r="BE10" s="43">
        <f>'T&amp;D'!C7</f>
        <v>0.84653858994676257</v>
      </c>
    </row>
    <row r="11" spans="1:59">
      <c r="A11" s="39"/>
      <c r="B11" s="35"/>
      <c r="C11" s="361">
        <v>0.1</v>
      </c>
      <c r="D11" s="35" t="s">
        <v>445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365" t="s">
        <v>485</v>
      </c>
      <c r="P11" s="380">
        <f>P8/Q3/R3/S3</f>
        <v>0</v>
      </c>
      <c r="Q11" s="380">
        <f>Q8/R3/S3</f>
        <v>0.23419646061155497</v>
      </c>
      <c r="R11" s="380">
        <f>R8/S3</f>
        <v>30.991744066047321</v>
      </c>
      <c r="S11" s="383">
        <f>S8</f>
        <v>0</v>
      </c>
      <c r="W11" s="382"/>
      <c r="X11" s="365" t="s">
        <v>485</v>
      </c>
      <c r="Y11" s="380">
        <f>Y8/Z3/AB3/AC3</f>
        <v>0</v>
      </c>
      <c r="Z11" s="380">
        <f>Z8/AB3/AC3</f>
        <v>2.1729490022172966</v>
      </c>
      <c r="AA11" s="381" t="s">
        <v>503</v>
      </c>
      <c r="AB11" s="380">
        <f>AB8/AC3</f>
        <v>0</v>
      </c>
      <c r="AC11" s="383">
        <f>AC8</f>
        <v>5.2410901467505235</v>
      </c>
      <c r="AF11" s="382"/>
      <c r="AG11" s="407" t="s">
        <v>472</v>
      </c>
      <c r="AH11" s="380">
        <f>Y11</f>
        <v>0</v>
      </c>
      <c r="AI11" s="380">
        <f>AI8/AK3</f>
        <v>50.576004495644696</v>
      </c>
      <c r="AJ11" s="381" t="s">
        <v>503</v>
      </c>
      <c r="AK11" s="380">
        <f>AC11</f>
        <v>5.2410901467505235</v>
      </c>
      <c r="AO11" s="382"/>
      <c r="AP11" s="407" t="s">
        <v>472</v>
      </c>
      <c r="AQ11" s="380">
        <f>AH11</f>
        <v>0</v>
      </c>
      <c r="AR11" s="380">
        <f>D31/D9*K11</f>
        <v>1.1698113207547169</v>
      </c>
      <c r="AS11" s="380">
        <f>AS8/AU3</f>
        <v>50.530517911545388</v>
      </c>
      <c r="AT11" s="381" t="s">
        <v>503</v>
      </c>
      <c r="AU11" s="380">
        <f>AK11</f>
        <v>5.2410901467505235</v>
      </c>
      <c r="AY11" s="382"/>
      <c r="AZ11" s="365" t="s">
        <v>485</v>
      </c>
      <c r="BA11" s="365">
        <f>J11/BB3/BC3/BE3</f>
        <v>0</v>
      </c>
      <c r="BB11" s="380">
        <f>BB8/BC3/BE3</f>
        <v>0.1039832285115304</v>
      </c>
      <c r="BC11" s="381">
        <f>BC8/BE3</f>
        <v>0</v>
      </c>
      <c r="BD11" s="381"/>
      <c r="BE11" s="383"/>
    </row>
    <row r="12" spans="1:59" ht="15" thickBot="1">
      <c r="A12" s="41"/>
      <c r="B12" s="449" t="s">
        <v>469</v>
      </c>
      <c r="C12" s="448">
        <v>372</v>
      </c>
      <c r="D12" s="449" t="s">
        <v>470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  <c r="AY12" s="382"/>
      <c r="AZ12" s="35"/>
      <c r="BA12" s="35"/>
      <c r="BB12" s="35"/>
      <c r="BC12" s="35"/>
      <c r="BD12" s="35"/>
      <c r="BE12" s="40"/>
    </row>
    <row r="13" spans="1:59" ht="15" thickBot="1">
      <c r="A13" s="39"/>
      <c r="B13" s="35"/>
      <c r="C13" s="35"/>
      <c r="D13" s="35"/>
      <c r="E13" s="35"/>
      <c r="F13" s="35"/>
      <c r="G13" s="40"/>
      <c r="H13" s="374" t="s">
        <v>486</v>
      </c>
      <c r="I13" s="365" t="s">
        <v>491</v>
      </c>
      <c r="J13" s="372">
        <f>J10*'LC factor'!H15+'NG-based'!J11*'LC factor'!L15</f>
        <v>4.9165821196554074</v>
      </c>
      <c r="K13" s="373">
        <f>K10*'LC factor'!H15+K11*'LC factor'!L15</f>
        <v>3.2947116843928073</v>
      </c>
      <c r="L13">
        <v>0</v>
      </c>
      <c r="M13" s="366">
        <f>(J13+K13+L13)/1000</f>
        <v>8.2112938040482149E-3</v>
      </c>
      <c r="N13" s="374" t="s">
        <v>486</v>
      </c>
      <c r="O13" s="365" t="s">
        <v>491</v>
      </c>
      <c r="P13" s="35">
        <f>P10*'LC factor'!H15+P11*'LC factor'!L15</f>
        <v>4.921503623278686</v>
      </c>
      <c r="Q13" s="35">
        <f>Q10*'LC factor'!B8+Q11*'LC factor'!B12</f>
        <v>0.65960193881737883</v>
      </c>
      <c r="R13" s="35">
        <f>R10*'LC factor'!B8+R11*'LC factor'!B12</f>
        <v>74.652641199614862</v>
      </c>
      <c r="S13" s="40">
        <f>S10*'LC factor'!B8+S11*'LC factor'!B12</f>
        <v>0</v>
      </c>
      <c r="T13">
        <v>0</v>
      </c>
      <c r="U13" s="366">
        <f>P13+Q13+R13+S13+T13</f>
        <v>80.233746761710933</v>
      </c>
      <c r="V13" s="366"/>
      <c r="W13" s="374" t="s">
        <v>486</v>
      </c>
      <c r="X13" s="365" t="s">
        <v>491</v>
      </c>
      <c r="Y13" s="35">
        <f>Y10*'LC factor'!B8+Y11*'LC factor'!B12</f>
        <v>4.9165821196554074</v>
      </c>
      <c r="Z13" s="35">
        <f>Z10*'LC factor'!B8+Z11*'LC factor'!B12</f>
        <v>10.07113291087402</v>
      </c>
      <c r="AA13" s="35"/>
      <c r="AB13" s="35">
        <f>AB10*'LC factor'!B11+'LC factor'!B9*'NG-based'!AB11</f>
        <v>1.2066904095051141</v>
      </c>
      <c r="AC13" s="40">
        <f>AC10*'LC factor'!B11+'LC factor'!B9*'NG-based'!AC11</f>
        <v>0.37885787892179007</v>
      </c>
      <c r="AD13">
        <v>0</v>
      </c>
      <c r="AE13" s="366">
        <f>Y13+Z13+AB13+AC13+AD13</f>
        <v>16.573263318956329</v>
      </c>
      <c r="AF13" s="410" t="s">
        <v>486</v>
      </c>
      <c r="AG13" s="407" t="s">
        <v>491</v>
      </c>
      <c r="AH13" s="380">
        <f>Y13</f>
        <v>4.9165821196554074</v>
      </c>
      <c r="AI13" s="35">
        <f>AI10*'LC factor'!B8+AI11*'LC factor'!B12</f>
        <v>121.75277750110493</v>
      </c>
      <c r="AJ13" s="35"/>
      <c r="AK13" s="380">
        <f>AC13</f>
        <v>0.37885787892179007</v>
      </c>
      <c r="AL13">
        <v>0</v>
      </c>
      <c r="AM13" s="366">
        <f>AH13+AI13+AK13+AL13</f>
        <v>127.04821749968212</v>
      </c>
      <c r="AN13" s="366"/>
      <c r="AO13" s="410" t="s">
        <v>486</v>
      </c>
      <c r="AP13" s="407" t="s">
        <v>491</v>
      </c>
      <c r="AQ13" s="380">
        <f>AH13</f>
        <v>4.9165821196554074</v>
      </c>
      <c r="AR13" s="380">
        <f>D31/D9*K13</f>
        <v>3.2947116843928073</v>
      </c>
      <c r="AS13" s="35">
        <f>AS10*'LC factor'!B8+AS11*'LC factor'!B12</f>
        <v>121.64327660224279</v>
      </c>
      <c r="AT13" s="35"/>
      <c r="AU13" s="380">
        <f t="shared" ref="AU13:AU21" si="0">AK13</f>
        <v>0.37885787892179007</v>
      </c>
      <c r="AV13">
        <v>0</v>
      </c>
      <c r="AW13" s="366">
        <f>AQ13+AR13+AS13+AU13+AV13</f>
        <v>130.2334282852128</v>
      </c>
      <c r="AY13" s="374" t="s">
        <v>486</v>
      </c>
      <c r="AZ13" s="365" t="s">
        <v>491</v>
      </c>
      <c r="BA13" s="365">
        <f>BA10*'LC factor'!H15+'LC factor'!L15*BA11</f>
        <v>6.5554428262072095</v>
      </c>
      <c r="BB13" s="35">
        <f>BB10*'LC factor'!H15+'LC factor'!L15*BB11</f>
        <v>0.29286326083491621</v>
      </c>
      <c r="BC13" s="35">
        <f>BC10*'LC factor'!H15+'LC factor'!L15*BC11</f>
        <v>83.871281697587662</v>
      </c>
      <c r="BD13" s="35"/>
      <c r="BE13" s="40">
        <f>BE7*'LC factor'!B9+'NG-based'!BE8*'LC factor'!B10+'NG-based'!BE9*'LC factor'!B11+'NG-based'!BE10*'LC factor'!B12</f>
        <v>2.2847998565108316</v>
      </c>
      <c r="BF13">
        <v>0</v>
      </c>
      <c r="BG13" s="366">
        <f>BA13+BB13+BC13+BE13+BF13</f>
        <v>93.004387641140625</v>
      </c>
    </row>
    <row r="14" spans="1:59">
      <c r="A14" s="36" t="s">
        <v>439</v>
      </c>
      <c r="B14" s="37" t="s">
        <v>440</v>
      </c>
      <c r="C14" s="37"/>
      <c r="D14" s="447">
        <f>'Key Input'!E9</f>
        <v>0.96900000000000008</v>
      </c>
      <c r="E14" s="37"/>
      <c r="F14" s="37"/>
      <c r="G14" s="38"/>
      <c r="H14" s="374" t="s">
        <v>487</v>
      </c>
      <c r="I14" s="365" t="s">
        <v>491</v>
      </c>
      <c r="J14" s="372">
        <f>J10*'LC factor'!H16+'NG-based'!J11*'LC factor'!L16</f>
        <v>114.43173126983139</v>
      </c>
      <c r="K14" s="373">
        <f>K10*'LC factor'!H16+K11*'LC factor'!L16</f>
        <v>11.358165075942514</v>
      </c>
      <c r="L14">
        <v>1000</v>
      </c>
      <c r="M14" s="366">
        <f>(J14+K14+L14)/1000</f>
        <v>1.125789896345774</v>
      </c>
      <c r="N14" s="374" t="s">
        <v>487</v>
      </c>
      <c r="O14" s="365" t="s">
        <v>491</v>
      </c>
      <c r="P14" s="35">
        <f>P10*'LC factor'!C8+P11*'LC factor'!C12</f>
        <v>114.54627754737876</v>
      </c>
      <c r="Q14" s="35">
        <f>Q10*'LC factor'!C8+Q11*'LC factor'!C12</f>
        <v>2.2739069221106143</v>
      </c>
      <c r="R14" s="35">
        <f>R10*'LC factor'!C8+R11*'LC factor'!C12</f>
        <v>6.8600684397250493</v>
      </c>
      <c r="S14" s="40">
        <f>S10*'LC factor'!C8+S11*'LC factor'!C12</f>
        <v>0</v>
      </c>
      <c r="T14">
        <v>1000</v>
      </c>
      <c r="U14" s="366">
        <f>P14+Q14+R14+S14+T14</f>
        <v>1123.6802529092145</v>
      </c>
      <c r="V14" s="366"/>
      <c r="W14" s="374" t="s">
        <v>487</v>
      </c>
      <c r="X14" s="365" t="s">
        <v>491</v>
      </c>
      <c r="Y14" s="35">
        <f>Y10*'LC factor'!C8+Y11*'LC factor'!C12</f>
        <v>114.43173126983139</v>
      </c>
      <c r="Z14" s="35">
        <f>Z10*'LC factor'!C8+Z11*'LC factor'!C12</f>
        <v>113.05936327827526</v>
      </c>
      <c r="AA14" s="35"/>
      <c r="AB14" s="35">
        <f>AB10*'LC factor'!C11+'LC factor'!C9*'NG-based'!AB11</f>
        <v>0.94066930032412432</v>
      </c>
      <c r="AC14" s="40">
        <f>AC10*'LC factor'!C11+'LC factor'!C9*'NG-based'!AC11</f>
        <v>0.25984793010238222</v>
      </c>
      <c r="AD14">
        <v>1000</v>
      </c>
      <c r="AE14" s="366">
        <f>Y14+Z14+AB14+AC14+AD14</f>
        <v>1228.6916117785331</v>
      </c>
      <c r="AF14" s="410" t="s">
        <v>487</v>
      </c>
      <c r="AG14" s="407" t="s">
        <v>491</v>
      </c>
      <c r="AH14" s="380">
        <f>Y14</f>
        <v>114.43173126983139</v>
      </c>
      <c r="AI14" s="35">
        <f>AI10*'LC factor'!C8+AI11*'LC factor'!C12</f>
        <v>9.4667352031301846</v>
      </c>
      <c r="AJ14" s="35"/>
      <c r="AK14" s="380">
        <f>AC14</f>
        <v>0.25984793010238222</v>
      </c>
      <c r="AL14">
        <v>1000</v>
      </c>
      <c r="AM14" s="366">
        <f>AH14+AI14+AK14+AL14</f>
        <v>1124.158314403064</v>
      </c>
      <c r="AN14" s="366"/>
      <c r="AO14" s="410" t="s">
        <v>487</v>
      </c>
      <c r="AP14" s="407" t="s">
        <v>491</v>
      </c>
      <c r="AQ14" s="380">
        <f>AH14</f>
        <v>114.43173126983139</v>
      </c>
      <c r="AR14" s="380">
        <f>D31/D9*K14</f>
        <v>11.358165075942514</v>
      </c>
      <c r="AS14" s="35">
        <f>AS10*'LC factor'!C8+AS11*'LC factor'!C12</f>
        <v>9.4582210974538423</v>
      </c>
      <c r="AT14" s="35"/>
      <c r="AU14" s="380">
        <f t="shared" si="0"/>
        <v>0.25984793010238222</v>
      </c>
      <c r="AV14">
        <v>1000</v>
      </c>
      <c r="AW14" s="366">
        <f>AQ14+AR14+AS14+AU14+AV14</f>
        <v>1135.5079653733301</v>
      </c>
      <c r="AY14" s="374" t="s">
        <v>487</v>
      </c>
      <c r="AZ14" s="365" t="s">
        <v>491</v>
      </c>
      <c r="BA14" s="365">
        <f>BA10*'LC factor'!H16+'LC factor'!L16*BA11</f>
        <v>152.57564169310851</v>
      </c>
      <c r="BB14" s="35">
        <f>BB10*'LC factor'!H16+'LC factor'!L16*BB115</f>
        <v>0.99015125989321484</v>
      </c>
      <c r="BC14" s="35">
        <f>BC10*'LC factor'!H16+'LC factor'!L16*BC11</f>
        <v>1952.0747818094717</v>
      </c>
      <c r="BD14" s="35"/>
      <c r="BE14" s="40">
        <f>BE7*'LC factor'!C9+BE8*'LC factor'!C10+BE9*'LC factor'!C11+BE10*'LC factor'!C12</f>
        <v>0.34743223043014071</v>
      </c>
      <c r="BF14">
        <v>1000</v>
      </c>
      <c r="BG14" s="366">
        <f>BA14+BB14+BC14+BE14+BF14</f>
        <v>3105.9880069929036</v>
      </c>
    </row>
    <row r="15" spans="1:59">
      <c r="A15" s="39"/>
      <c r="B15" s="35" t="s">
        <v>441</v>
      </c>
      <c r="C15" s="35"/>
      <c r="D15" s="64">
        <v>1E-3</v>
      </c>
      <c r="E15" s="35"/>
      <c r="F15" s="35"/>
      <c r="G15" s="40"/>
      <c r="H15" s="374" t="s">
        <v>488</v>
      </c>
      <c r="I15" s="365" t="s">
        <v>491</v>
      </c>
      <c r="J15" s="372">
        <f>J10*'LC factor'!H17+'NG-based'!J11*'LC factor'!L17</f>
        <v>5.2581924503620225</v>
      </c>
      <c r="K15" s="373">
        <f>K10*'LC factor'!H17+K11*'LC factor'!L17</f>
        <v>0.59146237839919946</v>
      </c>
      <c r="L15">
        <v>0</v>
      </c>
      <c r="M15" s="366">
        <f>(J15+K15+L15)/1000</f>
        <v>5.8496548287612221E-3</v>
      </c>
      <c r="N15" s="374" t="s">
        <v>488</v>
      </c>
      <c r="O15" s="365" t="s">
        <v>491</v>
      </c>
      <c r="P15" s="35">
        <f>P10*'LC factor'!D8+P11*'LC factor'!D12</f>
        <v>5.2634559062682911</v>
      </c>
      <c r="Q15" s="35">
        <f>Q10*'LC factor'!D8+Q11*'LC factor'!D12</f>
        <v>0.11841088656640632</v>
      </c>
      <c r="R15" s="35">
        <f>R10*'LC factor'!D8+R11*'LC factor'!D12</f>
        <v>2.1577888459274828</v>
      </c>
      <c r="S15" s="40">
        <f>S10*'LC factor'!D8+S11*'LC factor'!D12</f>
        <v>0</v>
      </c>
      <c r="T15">
        <v>0</v>
      </c>
      <c r="U15" s="366">
        <f>P15+Q15+R15+S15+T15</f>
        <v>7.5396556387621798</v>
      </c>
      <c r="V15" s="366"/>
      <c r="W15" s="374" t="s">
        <v>488</v>
      </c>
      <c r="X15" s="365" t="s">
        <v>491</v>
      </c>
      <c r="Y15" s="35">
        <f>Y10*'LC factor'!D8+Y11*'LC factor'!D12</f>
        <v>5.2581924503620225</v>
      </c>
      <c r="Z15" s="35">
        <f>Z10*'LC factor'!D8+Z11*'LC factor'!D12</f>
        <v>5.3243207568962232</v>
      </c>
      <c r="AA15" s="35"/>
      <c r="AB15" s="35">
        <f>AB10*'LC factor'!D11+'LC factor'!D9*'NG-based'!AB11</f>
        <v>23.239733999963143</v>
      </c>
      <c r="AC15" s="40">
        <f>AC10*'LC factor'!D11+'LC factor'!D9*'NG-based'!AC11</f>
        <v>6.0127285935776111</v>
      </c>
      <c r="AD15">
        <v>0</v>
      </c>
      <c r="AE15" s="366">
        <f>Y15+Z15+AB15+AC15+AD15</f>
        <v>39.834975800799</v>
      </c>
      <c r="AF15" s="410" t="s">
        <v>488</v>
      </c>
      <c r="AG15" s="407" t="s">
        <v>491</v>
      </c>
      <c r="AH15" s="380">
        <f>Y15</f>
        <v>5.2581924503620225</v>
      </c>
      <c r="AI15" s="35">
        <f>AI10*'LC factor'!D8+AI11*'LC factor'!D12</f>
        <v>3.4419178500793062</v>
      </c>
      <c r="AJ15" s="35"/>
      <c r="AK15" s="380">
        <f>AC15</f>
        <v>6.0127285935776111</v>
      </c>
      <c r="AL15">
        <v>0</v>
      </c>
      <c r="AM15" s="366">
        <f>AH15+AI15+AK15+AL15</f>
        <v>14.71283889401894</v>
      </c>
      <c r="AN15" s="366"/>
      <c r="AO15" s="410" t="s">
        <v>488</v>
      </c>
      <c r="AP15" s="407" t="s">
        <v>491</v>
      </c>
      <c r="AQ15" s="380">
        <f>AH15</f>
        <v>5.2581924503620225</v>
      </c>
      <c r="AR15" s="380">
        <f>D31/D9*K15</f>
        <v>0.59146237839919946</v>
      </c>
      <c r="AS15" s="35">
        <f>AS10*'LC factor'!D8+AS11*'LC factor'!D12</f>
        <v>3.4388222895004943</v>
      </c>
      <c r="AT15" s="35"/>
      <c r="AU15" s="380">
        <f>AK15</f>
        <v>6.0127285935776111</v>
      </c>
      <c r="AV15">
        <v>0</v>
      </c>
      <c r="AW15" s="366">
        <f>AQ15+AR15+AS15+AU15+AV15</f>
        <v>15.301205711839328</v>
      </c>
      <c r="AY15" s="374" t="s">
        <v>488</v>
      </c>
      <c r="AZ15" s="365" t="s">
        <v>491</v>
      </c>
      <c r="BA15" s="365">
        <f>BA10*'LC factor'!H17+'LC factor'!L17*'NG-based'!BA11</f>
        <v>7.0109232671493631</v>
      </c>
      <c r="BB15" s="35">
        <f>BB10*'LC factor'!H17+BB11*'LC factor'!L17</f>
        <v>5.2574433635484398E-2</v>
      </c>
      <c r="BC15" s="35">
        <f>BC10*'LC factor'!H17+'LC factor'!L17*'NG-based'!BC11</f>
        <v>89.698764200719069</v>
      </c>
      <c r="BD15" s="35"/>
      <c r="BE15" s="40">
        <f>BE7*'LC factor'!D9+BE8*'LC factor'!D10+BE9*'LC factor'!D11+BE10*'LC factor'!D12</f>
        <v>4.686319625465666</v>
      </c>
      <c r="BF15">
        <v>0</v>
      </c>
      <c r="BG15" s="366">
        <f>BA15+BB15+BC15+BE15+BF15</f>
        <v>101.44858152696959</v>
      </c>
    </row>
    <row r="16" spans="1:59">
      <c r="A16" s="39"/>
      <c r="B16" s="35" t="s">
        <v>442</v>
      </c>
      <c r="C16" s="35"/>
      <c r="D16" s="64">
        <f>1/D14-1-D15</f>
        <v>3.0991744066047322E-2</v>
      </c>
      <c r="E16" s="35"/>
      <c r="F16" s="35"/>
      <c r="G16" s="40"/>
      <c r="H16" s="374" t="s">
        <v>489</v>
      </c>
      <c r="I16" s="365" t="s">
        <v>491</v>
      </c>
      <c r="J16" s="372">
        <f>J13+J14+J15</f>
        <v>124.60650583984881</v>
      </c>
      <c r="K16" s="373">
        <f>K13+K14+K15</f>
        <v>15.244339138734521</v>
      </c>
      <c r="L16" s="373">
        <f>L13+L14+L15</f>
        <v>1000</v>
      </c>
      <c r="M16" s="366">
        <f>(J16+K16+L16)/1000</f>
        <v>1.1398508449785834</v>
      </c>
      <c r="N16" s="374" t="s">
        <v>489</v>
      </c>
      <c r="O16" s="365" t="s">
        <v>491</v>
      </c>
      <c r="P16" s="372">
        <f>P13+P14+P15</f>
        <v>124.73123707692574</v>
      </c>
      <c r="Q16" s="372">
        <f>Q13+Q14+Q15</f>
        <v>3.0519197474943995</v>
      </c>
      <c r="R16" s="372">
        <f>R13+R14+R15</f>
        <v>83.670498485267402</v>
      </c>
      <c r="S16" s="373">
        <f>S13+S14+S15</f>
        <v>0</v>
      </c>
      <c r="T16" s="373">
        <f>T13+T14+T15</f>
        <v>1000</v>
      </c>
      <c r="U16" s="366">
        <f>P16+Q16+R16+S16+T16</f>
        <v>1211.4536553096875</v>
      </c>
      <c r="V16" s="366"/>
      <c r="W16" s="374" t="s">
        <v>489</v>
      </c>
      <c r="X16" s="365" t="s">
        <v>491</v>
      </c>
      <c r="Y16" s="372">
        <f>Y13+Y14+Y15</f>
        <v>124.60650583984881</v>
      </c>
      <c r="Z16" s="372">
        <f>Z13+Z14+Z15</f>
        <v>128.4548169460455</v>
      </c>
      <c r="AA16" s="372"/>
      <c r="AB16" s="372">
        <f>AB13+AB14+AB15</f>
        <v>25.387093709792381</v>
      </c>
      <c r="AC16" s="373">
        <f>AC13+AC14+AC15</f>
        <v>6.6514344026017831</v>
      </c>
      <c r="AD16" s="373">
        <f>AD13+AD14+AD15</f>
        <v>1000</v>
      </c>
      <c r="AE16" s="366">
        <f>Y16+Z16+AB16+AC16+AD16</f>
        <v>1285.0998508982884</v>
      </c>
      <c r="AF16" s="410" t="s">
        <v>489</v>
      </c>
      <c r="AG16" s="407" t="s">
        <v>491</v>
      </c>
      <c r="AH16" s="380">
        <f>Y16</f>
        <v>124.60650583984881</v>
      </c>
      <c r="AI16" s="372">
        <f>AI13+AI14+AI15</f>
        <v>134.66143055431442</v>
      </c>
      <c r="AJ16" s="372"/>
      <c r="AK16" s="380">
        <f>AC16</f>
        <v>6.6514344026017831</v>
      </c>
      <c r="AL16" s="373">
        <f>AL13+AL14+AL15</f>
        <v>1000</v>
      </c>
      <c r="AM16" s="366">
        <f>AH16+AI16+AK16+AL16</f>
        <v>1265.9193707967652</v>
      </c>
      <c r="AN16" s="366"/>
      <c r="AO16" s="410" t="s">
        <v>489</v>
      </c>
      <c r="AP16" s="407" t="s">
        <v>491</v>
      </c>
      <c r="AQ16" s="380">
        <f>AH16</f>
        <v>124.60650583984881</v>
      </c>
      <c r="AR16" s="380">
        <f>D31/D9*K16</f>
        <v>15.244339138734521</v>
      </c>
      <c r="AS16" s="372">
        <f>AS13+AS14+AS15</f>
        <v>134.54031998919714</v>
      </c>
      <c r="AT16" s="372"/>
      <c r="AU16" s="380">
        <f>AK16</f>
        <v>6.6514344026017831</v>
      </c>
      <c r="AV16" s="373">
        <f>AV13+AV14+AV15</f>
        <v>1000</v>
      </c>
      <c r="AW16" s="366">
        <f>AQ16+AR16+AS16+AU16+AV16</f>
        <v>1281.0425993703823</v>
      </c>
      <c r="AY16" s="374" t="s">
        <v>489</v>
      </c>
      <c r="AZ16" s="365" t="s">
        <v>491</v>
      </c>
      <c r="BA16" s="372">
        <f>BA13+BA14+BA15</f>
        <v>166.14200778646509</v>
      </c>
      <c r="BB16" s="372">
        <f>BB13+BB14+BB15</f>
        <v>1.3355889543636152</v>
      </c>
      <c r="BC16" s="372">
        <f>BC13+BC14+BC15</f>
        <v>2125.6448277077784</v>
      </c>
      <c r="BD16" s="372"/>
      <c r="BE16" s="372">
        <f>BE13+BE14+BE15</f>
        <v>7.3185517124066379</v>
      </c>
      <c r="BF16" s="373">
        <f>BF13+BF14+BF15</f>
        <v>1000</v>
      </c>
      <c r="BG16" s="366">
        <f>BA16+BB16+BC16+BE16+BF16</f>
        <v>3300.4409761610136</v>
      </c>
    </row>
    <row r="17" spans="1:59">
      <c r="A17" s="39"/>
      <c r="B17" s="407" t="s">
        <v>475</v>
      </c>
      <c r="C17" s="35"/>
      <c r="D17" s="367">
        <f>'Key Input'!E8</f>
        <v>300</v>
      </c>
      <c r="E17" s="35" t="s">
        <v>448</v>
      </c>
      <c r="F17" s="35" t="s">
        <v>455</v>
      </c>
      <c r="G17" s="40"/>
      <c r="H17" s="39"/>
      <c r="I17" s="35"/>
      <c r="J17" s="372"/>
      <c r="K17" s="373"/>
      <c r="M17" s="436">
        <f>1/M16</f>
        <v>0.8773077674200338</v>
      </c>
      <c r="N17" s="39"/>
      <c r="O17" s="35"/>
      <c r="P17" s="35"/>
      <c r="Q17" s="35"/>
      <c r="R17" s="35"/>
      <c r="S17" s="40"/>
      <c r="U17" s="388">
        <f>1000/U16</f>
        <v>0.82545460622211508</v>
      </c>
      <c r="V17" s="427"/>
      <c r="W17" s="39"/>
      <c r="X17" s="35"/>
      <c r="Y17" s="35"/>
      <c r="Z17" s="35"/>
      <c r="AA17" s="35"/>
      <c r="AB17" s="35"/>
      <c r="AC17" s="40"/>
      <c r="AE17" s="388">
        <f>1000/AE16</f>
        <v>0.77814965062909092</v>
      </c>
      <c r="AF17" s="39"/>
      <c r="AG17" s="35"/>
      <c r="AH17" s="35"/>
      <c r="AI17" s="35"/>
      <c r="AJ17" s="35"/>
      <c r="AK17" s="35"/>
      <c r="AM17" s="427">
        <f>1000/AM16</f>
        <v>0.78993972528487622</v>
      </c>
      <c r="AN17" s="427"/>
      <c r="AO17" s="39"/>
      <c r="AP17" s="35"/>
      <c r="AQ17" s="35"/>
      <c r="AR17" s="35"/>
      <c r="AS17" s="35"/>
      <c r="AT17" s="35"/>
      <c r="AU17" s="380"/>
      <c r="AW17" s="427">
        <f>1000/AW16</f>
        <v>0.78061416575177789</v>
      </c>
      <c r="AY17" s="39"/>
      <c r="AZ17" s="35"/>
      <c r="BA17" s="35"/>
      <c r="BB17" s="35"/>
      <c r="BC17" s="35"/>
      <c r="BD17" s="35"/>
      <c r="BE17" s="40"/>
      <c r="BG17" s="388">
        <f>1000/BG16</f>
        <v>0.30298981476201819</v>
      </c>
    </row>
    <row r="18" spans="1:59">
      <c r="A18" s="39"/>
      <c r="B18" s="35"/>
      <c r="C18" s="361">
        <v>0.9</v>
      </c>
      <c r="D18" s="35" t="s">
        <v>438</v>
      </c>
      <c r="E18" s="35"/>
      <c r="F18" s="35"/>
      <c r="G18" s="40"/>
      <c r="H18" s="374" t="s">
        <v>490</v>
      </c>
      <c r="I18" s="689" t="s">
        <v>1014</v>
      </c>
      <c r="J18" s="372">
        <f>J10*'LC factor'!H18+'NG-based'!J11*'LC factor'!L18</f>
        <v>7293.9759327798283</v>
      </c>
      <c r="K18" s="373">
        <f>K10*'LC factor'!H18+K11*'LC factor'!L18</f>
        <v>958.25792612362227</v>
      </c>
      <c r="L18" s="532">
        <f>'LC for SE'!AE7*1000*'LC for SE'!AA7</f>
        <v>56421.089999999989</v>
      </c>
      <c r="M18" s="366">
        <f>(J18+K18+L18)/1000</f>
        <v>64.673323858903444</v>
      </c>
      <c r="N18" s="374" t="s">
        <v>490</v>
      </c>
      <c r="O18" s="365" t="s">
        <v>492</v>
      </c>
      <c r="P18" s="35">
        <f>P10*'LC factor'!H18+P11*'LC factor'!L18</f>
        <v>7301.2772099898184</v>
      </c>
      <c r="Q18" s="365">
        <f>Q10*'LC factor'!H18+Q11*'LC factor'!L18</f>
        <v>191.84342865337786</v>
      </c>
      <c r="R18" s="365">
        <f>R10*'LC factor'!H18+R11*'LC factor'!L18</f>
        <v>6644.0018659776442</v>
      </c>
      <c r="S18" s="371">
        <f>S10*'LC factor'!H18+S11*'LC factor'!L18</f>
        <v>0</v>
      </c>
      <c r="T18" s="532">
        <f>L18</f>
        <v>56421.089999999989</v>
      </c>
      <c r="U18" s="436">
        <f>SUM(P18:T18)/1000</f>
        <v>70.558212504620826</v>
      </c>
      <c r="W18" s="374" t="s">
        <v>490</v>
      </c>
      <c r="X18" s="365" t="s">
        <v>492</v>
      </c>
      <c r="Y18" s="35">
        <f>Y10*'LC factor'!H18+Y11*'LC factor'!L18</f>
        <v>7293.9759327798283</v>
      </c>
      <c r="Z18" s="365">
        <f>Z10*'LC factor'!H18+Z11*'LC factor'!L18</f>
        <v>7641.6778356213763</v>
      </c>
      <c r="AA18" s="365"/>
      <c r="AB18" s="365">
        <f>AB10*'LC factor'!L11+'LC factor'!L9*'NG-based'!AB11</f>
        <v>1905.6531263783158</v>
      </c>
      <c r="AC18" s="371">
        <f>AC10*'LC factor'!L11+'LC factor'!L9*'NG-based'!AC11</f>
        <v>481.64016776563949</v>
      </c>
      <c r="AD18" s="532">
        <f>T18</f>
        <v>56421.089999999989</v>
      </c>
      <c r="AE18" s="436">
        <f>SUM(Y18:AD18)/1000</f>
        <v>73.744037062545146</v>
      </c>
      <c r="AF18" s="410" t="s">
        <v>490</v>
      </c>
      <c r="AG18" s="407" t="s">
        <v>492</v>
      </c>
      <c r="AH18" s="380">
        <f>Y18</f>
        <v>7293.9759327798283</v>
      </c>
      <c r="AI18" s="453">
        <f>AI10*'LC factor'!H18+AI11*'LC factor'!L18</f>
        <v>10732.304665235995</v>
      </c>
      <c r="AJ18" s="407"/>
      <c r="AK18" s="380">
        <f>AC18</f>
        <v>481.64016776563949</v>
      </c>
      <c r="AL18" s="532">
        <f>57700*0.99</f>
        <v>57123</v>
      </c>
      <c r="AM18" s="436">
        <f>SUM(AH18:AL18)/1000</f>
        <v>75.630920765781454</v>
      </c>
      <c r="AO18" s="410" t="s">
        <v>490</v>
      </c>
      <c r="AP18" s="407" t="s">
        <v>492</v>
      </c>
      <c r="AQ18" s="380">
        <f>AH18</f>
        <v>7293.9759327798283</v>
      </c>
      <c r="AR18" s="380">
        <f>D31/D9*K18</f>
        <v>958.25792612362227</v>
      </c>
      <c r="AS18" s="453">
        <f>AS10*'LC factor'!H18+AS11*'LC factor'!L18</f>
        <v>10722.652343278125</v>
      </c>
      <c r="AT18" s="407"/>
      <c r="AU18" s="380">
        <f t="shared" si="0"/>
        <v>481.64016776563949</v>
      </c>
      <c r="AV18" s="532">
        <f>AL18</f>
        <v>57123</v>
      </c>
      <c r="AW18" s="436">
        <f>SUM(AQ18:AV18)/1000</f>
        <v>76.579526369947217</v>
      </c>
      <c r="AY18" s="374" t="s">
        <v>490</v>
      </c>
      <c r="AZ18" s="365" t="s">
        <v>492</v>
      </c>
      <c r="BA18" s="385">
        <f>BA10*'LC factor'!H18+'LC factor'!L18*'NG-based'!BA11</f>
        <v>9725.301243706439</v>
      </c>
      <c r="BB18" s="365">
        <f>BB10*'LC factor'!H18+'LC factor'!L18*'NG-based'!BB11</f>
        <v>85.178482322099768</v>
      </c>
      <c r="BC18" s="365">
        <f>BC10*'LC factor'!H18+'LC factor'!L18*'NG-based'!BC11</f>
        <v>124426.90781222594</v>
      </c>
      <c r="BD18" s="365"/>
      <c r="BE18" s="40">
        <f>BE7*'LC factor'!E9+BE8*'LC factor'!E10+BE9*'LC factor'!E11+BE10*'LC factor'!E12</f>
        <v>243.13825208208331</v>
      </c>
      <c r="BF18" s="505">
        <v>72600</v>
      </c>
      <c r="BG18" s="436">
        <f>SUM(BA18:BF18)/1000</f>
        <v>207.08052579033654</v>
      </c>
    </row>
    <row r="19" spans="1:59" ht="15" thickBot="1">
      <c r="A19" s="41"/>
      <c r="B19" s="42"/>
      <c r="C19" s="452">
        <v>0.1</v>
      </c>
      <c r="D19" s="42" t="s">
        <v>445</v>
      </c>
      <c r="E19" s="42"/>
      <c r="F19" s="42"/>
      <c r="G19" s="43"/>
      <c r="H19" s="374" t="s">
        <v>493</v>
      </c>
      <c r="I19" s="689" t="s">
        <v>1014</v>
      </c>
      <c r="J19" s="532">
        <f>(J10*'LC factor'!H19+'NG-based'!J11*'LC factor'!L19)/1+(72/F5*D5)</f>
        <v>82.425169497414885</v>
      </c>
      <c r="K19" s="373">
        <f>(K10*'LC factor'!H19+K11*'LC factor'!L19)/1</f>
        <v>2.1781169934031439</v>
      </c>
      <c r="L19">
        <v>0</v>
      </c>
      <c r="M19" s="366">
        <f>(J19+K19+L19)/1000</f>
        <v>8.4603286490818025E-2</v>
      </c>
      <c r="N19" s="374" t="s">
        <v>493</v>
      </c>
      <c r="O19" s="365" t="s">
        <v>492</v>
      </c>
      <c r="P19" s="365">
        <f>(P10*'LC factor'!H19+P11*'LC factor'!L19)/1+(72/F5*D5)</f>
        <v>82.435605102517414</v>
      </c>
      <c r="Q19" s="365">
        <f>(Q10*'LC factor'!H19+Q11*'LC factor'!L19)/1</f>
        <v>0.43605945813876762</v>
      </c>
      <c r="R19" s="365">
        <f>(R10*'LC factor'!H19+R11*'LC factor'!L19)/1</f>
        <v>30.915541375192383</v>
      </c>
      <c r="S19" s="371">
        <f>(S10*'LC factor'!H19+S11*'LC factor'!L19)/1</f>
        <v>0</v>
      </c>
      <c r="T19">
        <v>0</v>
      </c>
      <c r="U19" s="436">
        <f t="shared" ref="U19:U20" si="1">SUM(P19:T19)/1000</f>
        <v>0.11378720593584857</v>
      </c>
      <c r="W19" s="374" t="s">
        <v>493</v>
      </c>
      <c r="X19" s="365" t="s">
        <v>492</v>
      </c>
      <c r="Y19" s="365">
        <f>(Y10*'LC factor'!H19+Y11*'LC factor'!L19)/1+(72/F5*D5)</f>
        <v>82.425169497414885</v>
      </c>
      <c r="Z19" s="365">
        <f>(Z10*'LC factor'!H19+Z11*'LC factor'!L19)/1</f>
        <v>12.423928031552515</v>
      </c>
      <c r="AA19" s="365"/>
      <c r="AB19" s="365">
        <f>AB10*'LC factor'!M11+'LC factor'!M9*'NG-based'!AB11</f>
        <v>0.81787748828790086</v>
      </c>
      <c r="AC19" s="371">
        <f>AC10*'LC factor'!M19+'LC factor'!M19*'NG-based'!AC11</f>
        <v>0</v>
      </c>
      <c r="AD19">
        <v>0</v>
      </c>
      <c r="AE19" s="436">
        <f t="shared" ref="AE19:AE20" si="2">SUM(Y19:AD19)/1000</f>
        <v>9.566697501725531E-2</v>
      </c>
      <c r="AF19" s="410" t="s">
        <v>493</v>
      </c>
      <c r="AG19" s="407" t="s">
        <v>492</v>
      </c>
      <c r="AH19" s="380">
        <f>Y19</f>
        <v>82.425169497414885</v>
      </c>
      <c r="AI19" s="453">
        <f>(AI10*'LC factor'!H19+AI11*'LC factor'!L19)/1</f>
        <v>50.294189660191208</v>
      </c>
      <c r="AJ19" s="407"/>
      <c r="AK19" s="380">
        <f>AC19</f>
        <v>0</v>
      </c>
      <c r="AL19">
        <v>0</v>
      </c>
      <c r="AM19" s="436">
        <f t="shared" ref="AM19:AM20" si="3">SUM(AH19:AL19)/1000</f>
        <v>0.1327193591576061</v>
      </c>
      <c r="AO19" s="410" t="s">
        <v>493</v>
      </c>
      <c r="AP19" s="407" t="s">
        <v>492</v>
      </c>
      <c r="AQ19" s="380">
        <f>AH19</f>
        <v>82.425169497414885</v>
      </c>
      <c r="AR19" s="380">
        <f>D31/D9*K19</f>
        <v>2.1781169934031439</v>
      </c>
      <c r="AS19" s="453">
        <f>(AS10*'LC factor'!H19+AS11*'LC factor'!L19)/1</f>
        <v>50.248956532139701</v>
      </c>
      <c r="AT19" s="407"/>
      <c r="AU19" s="380">
        <f t="shared" si="0"/>
        <v>0</v>
      </c>
      <c r="AV19">
        <v>0</v>
      </c>
      <c r="AW19" s="436">
        <f t="shared" ref="AW19:AW20" si="4">SUM(AQ19:AV19)/1000</f>
        <v>0.13485224302295773</v>
      </c>
      <c r="AY19" s="374" t="s">
        <v>493</v>
      </c>
      <c r="AZ19" s="365" t="s">
        <v>492</v>
      </c>
      <c r="BA19" s="365">
        <f>BA10*'LC factor'!H19+'LC factor'!L19*'NG-based'!BA11+(72/F5*D5)/BC3</f>
        <v>109.90022599655319</v>
      </c>
      <c r="BB19" s="365">
        <f>(BB10*'LC factor'!H19+BB11*'LC factor'!L19)/1</f>
        <v>0.1936103994136128</v>
      </c>
      <c r="BC19" s="365">
        <f>(BC10*'LC factor'!H19+BC11*'LC factor'!L19)/1</f>
        <v>177.84149768743526</v>
      </c>
      <c r="BD19" s="365"/>
      <c r="BE19" s="40">
        <f>BE7*'LC factor'!F9+BE8*'LC factor'!F10+BE9*'LC factor'!F11+BE10*'LC factor'!F12</f>
        <v>0.999171346290603</v>
      </c>
      <c r="BF19">
        <v>0</v>
      </c>
      <c r="BG19" s="436">
        <f t="shared" ref="BG19:BG20" si="5">SUM(BA19:BF19)/1000</f>
        <v>0.28893450542969262</v>
      </c>
    </row>
    <row r="20" spans="1:59">
      <c r="A20" s="39"/>
      <c r="B20" s="35"/>
      <c r="C20" s="35"/>
      <c r="D20" s="35"/>
      <c r="E20" s="35"/>
      <c r="F20" s="35"/>
      <c r="G20" s="40"/>
      <c r="H20" s="39" t="s">
        <v>494</v>
      </c>
      <c r="I20" s="689" t="s">
        <v>1015</v>
      </c>
      <c r="J20" s="372">
        <f>(J10*'LC factor'!H20+J11*'LC factor'!L20)/1000</f>
        <v>1.5325798843518956E-4</v>
      </c>
      <c r="K20" s="373">
        <f>(K10*'LC factor'!H20+K11*'LC factor'!L20)/1000</f>
        <v>1.8826877950371856E-5</v>
      </c>
      <c r="L20">
        <v>0</v>
      </c>
      <c r="M20" s="366">
        <f>(J20+K20+L20)/1000</f>
        <v>1.7208486638556142E-7</v>
      </c>
      <c r="N20" s="39" t="s">
        <v>494</v>
      </c>
      <c r="O20" s="689" t="s">
        <v>1015</v>
      </c>
      <c r="P20" s="365">
        <f>(P10*'LC factor'!H20+P11*'LC factor'!L20)/1000</f>
        <v>1.534113998350246E-4</v>
      </c>
      <c r="Q20" s="365">
        <f>(Q10*'LC factor'!H20+Q11*'LC factor'!L20)/1000</f>
        <v>3.7691447348091811E-6</v>
      </c>
      <c r="R20" s="365">
        <f>(R10*'LC factor'!H20+R11*'LC factor'!L20)/1000</f>
        <v>1.0495779846251692E-4</v>
      </c>
      <c r="S20" s="371">
        <f>(S10*'LC factor'!H20+S11*'LC factor'!L20)/1000</f>
        <v>0</v>
      </c>
      <c r="T20">
        <v>0</v>
      </c>
      <c r="U20" s="436">
        <f t="shared" si="1"/>
        <v>2.6213834303235069E-7</v>
      </c>
      <c r="W20" s="39" t="s">
        <v>494</v>
      </c>
      <c r="X20" s="689" t="s">
        <v>1015</v>
      </c>
      <c r="Y20" s="365">
        <f>(Y10*'LC factor'!H20+Y11*'LC factor'!L20)/1000</f>
        <v>1.5325798843518956E-4</v>
      </c>
      <c r="Z20" s="365">
        <f>(Z10*'LC factor'!H20+Z11*'LC factor'!L20)/1000</f>
        <v>1.5813478936734261E-4</v>
      </c>
      <c r="AA20" s="365"/>
      <c r="AB20" s="365">
        <f>(AB10*'LC factor'!N20+'LC factor'!N20*'NG-based'!AB11)/1000</f>
        <v>0</v>
      </c>
      <c r="AC20" s="371">
        <f>(AC10*'LC factor'!N20+'LC factor'!N20*'NG-based'!AC11)/1000</f>
        <v>0</v>
      </c>
      <c r="AD20">
        <v>0</v>
      </c>
      <c r="AE20" s="436">
        <f t="shared" si="2"/>
        <v>3.1139277780253222E-7</v>
      </c>
      <c r="AF20" s="39" t="s">
        <v>494</v>
      </c>
      <c r="AG20" s="689" t="s">
        <v>1015</v>
      </c>
      <c r="AH20" s="380">
        <f>Y20</f>
        <v>1.5325798843518956E-4</v>
      </c>
      <c r="AI20" s="453">
        <f>(AI10*'LC factor'!H20+AI11*'LC factor'!L20)/1000</f>
        <v>1.6896782962289418E-4</v>
      </c>
      <c r="AJ20" s="407"/>
      <c r="AK20" s="380">
        <f>AC20</f>
        <v>0</v>
      </c>
      <c r="AL20">
        <v>0</v>
      </c>
      <c r="AM20" s="436">
        <f t="shared" si="3"/>
        <v>3.2222581805808371E-7</v>
      </c>
      <c r="AO20" s="39" t="s">
        <v>494</v>
      </c>
      <c r="AP20" s="689" t="s">
        <v>1015</v>
      </c>
      <c r="AQ20" s="380">
        <f>AH20</f>
        <v>1.5325798843518956E-4</v>
      </c>
      <c r="AR20" s="380">
        <f>D31/D9*K20</f>
        <v>1.8826877950371856E-5</v>
      </c>
      <c r="AS20" s="453">
        <f>(AS10*'LC factor'!H20+AS11*'LC factor'!L20)/1000</f>
        <v>1.6881586488252248E-4</v>
      </c>
      <c r="AT20" s="407"/>
      <c r="AU20" s="380">
        <f t="shared" si="0"/>
        <v>0</v>
      </c>
      <c r="AV20">
        <v>0</v>
      </c>
      <c r="AW20" s="436">
        <f t="shared" si="4"/>
        <v>3.4090073126808391E-7</v>
      </c>
      <c r="AY20" s="39" t="s">
        <v>494</v>
      </c>
      <c r="AZ20" s="689" t="s">
        <v>1015</v>
      </c>
      <c r="BA20" s="365">
        <f>(BA10*'LC factor'!H20+BA11*'LC factor'!L20)/1000</f>
        <v>2.0434398458025273E-4</v>
      </c>
      <c r="BB20" s="365">
        <f>(BB10*'LC factor'!H20+BB11*'LC factor'!L20)/1000</f>
        <v>1.6735002622552761E-6</v>
      </c>
      <c r="BC20" s="365">
        <f>(BC10*'LC factor'!H20+BC11*'LC factor'!L20)/1000</f>
        <v>2.6144064326854609E-3</v>
      </c>
      <c r="BD20" s="365"/>
      <c r="BE20" s="40">
        <f>(BE7*'LC factor'!G9+BE8*'LC factor'!G10+BE9*'LC factor'!G11+BE10*'LC factor'!G12)/1000</f>
        <v>4.396706286491206E-3</v>
      </c>
      <c r="BF20">
        <v>0</v>
      </c>
      <c r="BG20" s="436">
        <f t="shared" si="5"/>
        <v>7.2171302040191749E-6</v>
      </c>
    </row>
    <row r="21" spans="1:59" ht="15" thickBot="1">
      <c r="A21" s="466" t="s">
        <v>601</v>
      </c>
      <c r="B21" s="108" t="s">
        <v>658</v>
      </c>
      <c r="C21" s="108"/>
      <c r="D21" s="111">
        <f>'Key Input'!E11</f>
        <v>0.90200000000000002</v>
      </c>
      <c r="E21" s="108"/>
      <c r="F21" s="108"/>
      <c r="G21" s="467"/>
      <c r="H21" s="376" t="s">
        <v>495</v>
      </c>
      <c r="I21" s="376" t="s">
        <v>496</v>
      </c>
      <c r="J21" s="377">
        <f>(J18+J19*25+J20*0.298)/1000</f>
        <v>9.35460521588608</v>
      </c>
      <c r="K21" s="377">
        <f>(K18+K19*25+K20*0.298)/1000</f>
        <v>1.0127108565691105</v>
      </c>
      <c r="L21" s="377">
        <f>(L18+L19*25+L20*0.298)/1000</f>
        <v>56.421089999999992</v>
      </c>
      <c r="M21" s="366">
        <f>(J21+K21+L21)</f>
        <v>66.788406072455189</v>
      </c>
      <c r="N21" s="375" t="s">
        <v>495</v>
      </c>
      <c r="O21" s="376" t="s">
        <v>496</v>
      </c>
      <c r="P21" s="377">
        <f>(P18+P19*25+P20*0.298)/1000</f>
        <v>9.3621673832693499</v>
      </c>
      <c r="Q21" s="377">
        <f>(Q18+Q19*25+Q20*0.298)/1000</f>
        <v>0.2027449162300522</v>
      </c>
      <c r="R21" s="377">
        <f>(R18+R19*25+R20*0.298)/1000</f>
        <v>7.4168904316348767</v>
      </c>
      <c r="S21" s="377">
        <f>(S18+S19*25+S20*0.298)/1000</f>
        <v>0</v>
      </c>
      <c r="T21" s="377">
        <f>(T18+T19*25+T20*0.298)/1000</f>
        <v>56.421089999999992</v>
      </c>
      <c r="U21" s="462">
        <f>P21+Q21+R21+S21+T21</f>
        <v>73.402892731134273</v>
      </c>
      <c r="V21" s="366"/>
      <c r="W21" s="375" t="s">
        <v>495</v>
      </c>
      <c r="X21" s="376" t="s">
        <v>496</v>
      </c>
      <c r="Y21" s="377">
        <f>(Y18+Y19*25+Y20*0.298)/1000</f>
        <v>9.35460521588608</v>
      </c>
      <c r="Z21" s="377">
        <f>(Z18+Z19*25+Z20*0.298)/1000</f>
        <v>7.9522760835343567</v>
      </c>
      <c r="AA21" s="377"/>
      <c r="AB21" s="377">
        <f>(AB18+AB19*25+AB20*0.298)/1000</f>
        <v>1.9261000635855134</v>
      </c>
      <c r="AC21" s="377">
        <f>(AC18+AC19*25+AC20*0.298)/1000</f>
        <v>0.4816401677656395</v>
      </c>
      <c r="AD21" s="377">
        <f>(AD18+AD19*25+AD20*0.298)/1000</f>
        <v>56.421089999999992</v>
      </c>
      <c r="AE21" s="462">
        <f>Y21+Z21+AB21+AC21+AD21</f>
        <v>76.135711530771573</v>
      </c>
      <c r="AF21" s="375" t="s">
        <v>495</v>
      </c>
      <c r="AG21" s="376" t="s">
        <v>496</v>
      </c>
      <c r="AH21" s="377">
        <f>(AH18+AH19*25+AH20*0.298)/1000</f>
        <v>9.35460521588608</v>
      </c>
      <c r="AI21" s="377">
        <f>(AI18+AI19*25+AI20*0.298)/1000</f>
        <v>11.989659457093188</v>
      </c>
      <c r="AJ21" s="377"/>
      <c r="AK21" s="377">
        <f>(AK18+AK19*25+AK20*0.298)/1000</f>
        <v>0.4816401677656395</v>
      </c>
      <c r="AL21" s="377">
        <f>(AL18+AL19*25+AL20*0.298)/1000</f>
        <v>57.122999999999998</v>
      </c>
      <c r="AM21" s="462">
        <f>AH21+AI21+AK21+AL21</f>
        <v>78.948904840744902</v>
      </c>
      <c r="AN21" s="366"/>
      <c r="AO21" s="375" t="s">
        <v>495</v>
      </c>
      <c r="AP21" s="376" t="s">
        <v>496</v>
      </c>
      <c r="AQ21" s="415">
        <f>AH21</f>
        <v>9.35460521588608</v>
      </c>
      <c r="AR21" s="377">
        <f>(AR18+AR19*25+AR20*0.298)/1000</f>
        <v>1.0127108565691105</v>
      </c>
      <c r="AS21" s="377">
        <f>(AS18+AS19*25+AS20*0.298)/1000</f>
        <v>11.978876306888745</v>
      </c>
      <c r="AT21" s="377"/>
      <c r="AU21" s="415">
        <f t="shared" si="0"/>
        <v>0.4816401677656395</v>
      </c>
      <c r="AV21" s="377">
        <f>(AV18+AV19*25+AV20*0.298)/1000</f>
        <v>57.122999999999998</v>
      </c>
      <c r="AW21" s="462">
        <f>AQ21+AR21+AS21+AU21+AV21</f>
        <v>79.95083254710957</v>
      </c>
      <c r="AY21" s="375" t="s">
        <v>495</v>
      </c>
      <c r="AZ21" s="376" t="s">
        <v>496</v>
      </c>
      <c r="BA21" s="377">
        <f>(BA18+BA19*25+BA20*0.298)/1000</f>
        <v>12.472806954514775</v>
      </c>
      <c r="BB21" s="377">
        <f>(BB18+BB19*25+BB20*0.298)/1000</f>
        <v>9.0018742806143165E-2</v>
      </c>
      <c r="BC21" s="377">
        <f>(BC18+BC19*25+BC20*0.298)/1000</f>
        <v>128.87294603350495</v>
      </c>
      <c r="BD21" s="377"/>
      <c r="BE21" s="377">
        <f>(BE18+BE19*25+BE20*0.298)/1000</f>
        <v>0.26811884595782176</v>
      </c>
      <c r="BF21" s="377">
        <f>(BF18+BF19*25+BF20*0.298)/1000</f>
        <v>72.599999999999994</v>
      </c>
      <c r="BG21" s="366">
        <f>BA21+BB21+BC21+BE21+BF21</f>
        <v>214.30389057678369</v>
      </c>
    </row>
    <row r="22" spans="1:59">
      <c r="A22" s="93"/>
      <c r="B22" s="35" t="s">
        <v>444</v>
      </c>
      <c r="C22" s="35"/>
      <c r="D22" s="389" t="s">
        <v>438</v>
      </c>
      <c r="E22" s="455">
        <v>0.98</v>
      </c>
      <c r="F22" s="35"/>
      <c r="G22" s="84"/>
      <c r="J22" s="427">
        <f>J21/M21</f>
        <v>0.14006330987653406</v>
      </c>
      <c r="K22" s="427">
        <f>K21/M21</f>
        <v>1.51629738770899E-2</v>
      </c>
      <c r="L22" s="427">
        <f>L21/M21</f>
        <v>0.84477371624637598</v>
      </c>
      <c r="P22" s="427">
        <f>P21/U21</f>
        <v>0.12754493773919526</v>
      </c>
      <c r="Q22" s="427">
        <f>Q21/U21</f>
        <v>2.7620834641038164E-3</v>
      </c>
      <c r="R22" s="427">
        <f>R21/U21</f>
        <v>0.10104357138623991</v>
      </c>
      <c r="S22" s="427">
        <f>S21/U21</f>
        <v>0</v>
      </c>
      <c r="T22" s="427">
        <f>T21/U21</f>
        <v>0.76864940741046095</v>
      </c>
      <c r="Y22" s="457">
        <f>Y21/AE21</f>
        <v>0.12286750892326334</v>
      </c>
      <c r="Z22" s="457">
        <f>Z21/AE21</f>
        <v>0.10444869987614558</v>
      </c>
      <c r="AA22" s="457"/>
      <c r="AB22" s="457">
        <f>AB21/AE21</f>
        <v>2.5298247364602965E-2</v>
      </c>
      <c r="AC22" s="457">
        <f>AC21/AD21</f>
        <v>8.5365271703478178E-3</v>
      </c>
      <c r="AD22" s="457">
        <f>AD21/AE21</f>
        <v>0.74105946953942137</v>
      </c>
      <c r="AG22" s="457"/>
      <c r="AH22" s="457">
        <f>AH21/AM21</f>
        <v>0.11848936010899853</v>
      </c>
      <c r="AI22" s="457">
        <f>AI21/AM21</f>
        <v>0.15186606427636498</v>
      </c>
      <c r="AJ22" s="457"/>
      <c r="AK22" s="457">
        <f>AK21/AM21</f>
        <v>6.1006567315556835E-3</v>
      </c>
      <c r="AL22" s="457">
        <f>AL21/AM21</f>
        <v>0.72354391888308089</v>
      </c>
      <c r="AQ22" s="457">
        <f>AQ21/AW21</f>
        <v>0.1170044753489471</v>
      </c>
      <c r="AR22" s="457">
        <f>AR21/AW21</f>
        <v>1.2666670556212021E-2</v>
      </c>
      <c r="AS22" s="457">
        <f>AS21/AW21</f>
        <v>0.14982803712307075</v>
      </c>
      <c r="AT22" s="457"/>
      <c r="AU22" s="457">
        <f>AU21/AW21</f>
        <v>6.0242045319770978E-3</v>
      </c>
      <c r="AV22" s="457">
        <f>AV21/AW21</f>
        <v>0.7144766124397931</v>
      </c>
      <c r="BA22" s="457">
        <f>BA21/BG21</f>
        <v>5.8201495646883039E-2</v>
      </c>
      <c r="BB22" s="457">
        <f>BB21/BG21</f>
        <v>4.2005183650126052E-4</v>
      </c>
      <c r="BC22" s="457">
        <f>BC21/BG21</f>
        <v>0.60135607284894632</v>
      </c>
      <c r="BD22" s="457"/>
      <c r="BE22" s="457">
        <f>BE21/BG21</f>
        <v>1.2511151581812115E-3</v>
      </c>
      <c r="BF22" s="457">
        <f>BF21/BG21</f>
        <v>0.33877126450948819</v>
      </c>
    </row>
    <row r="23" spans="1:59">
      <c r="A23" s="93"/>
      <c r="B23" s="35"/>
      <c r="C23" s="35"/>
      <c r="D23" s="389" t="s">
        <v>446</v>
      </c>
      <c r="E23" s="455">
        <f>1-E22</f>
        <v>2.0000000000000018E-2</v>
      </c>
      <c r="F23" s="35"/>
      <c r="G23" s="84"/>
      <c r="AM23" s="463">
        <f>AM21/AE21</f>
        <v>1.0369497211415215</v>
      </c>
    </row>
    <row r="24" spans="1:59">
      <c r="A24" s="93"/>
      <c r="B24" s="453" t="s">
        <v>602</v>
      </c>
      <c r="C24" s="35"/>
      <c r="D24" s="450">
        <f>'Key Input'!E12</f>
        <v>6700</v>
      </c>
      <c r="E24" s="361" t="s">
        <v>448</v>
      </c>
      <c r="F24" s="35" t="s">
        <v>449</v>
      </c>
      <c r="G24" s="84"/>
      <c r="AE24">
        <f>90.4/AE21</f>
        <v>1.1873534532275734</v>
      </c>
      <c r="AM24">
        <f>88.4/AM21</f>
        <v>1.1197115422730661</v>
      </c>
      <c r="AW24">
        <f>89.4/AW21</f>
        <v>1.1181872302245595</v>
      </c>
    </row>
    <row r="25" spans="1:59">
      <c r="A25" s="93"/>
      <c r="B25" s="35"/>
      <c r="C25" s="35"/>
      <c r="D25" s="35"/>
      <c r="E25" s="35"/>
      <c r="F25" s="35"/>
      <c r="G25" s="84"/>
      <c r="AE25">
        <f>74.7/AE21</f>
        <v>0.98114273181526246</v>
      </c>
      <c r="AM25">
        <f>73.5/AM21</f>
        <v>0.93098188186731168</v>
      </c>
      <c r="AW25">
        <f>74.3/AW21</f>
        <v>0.92932115442600394</v>
      </c>
    </row>
    <row r="26" spans="1:59">
      <c r="A26" s="468" t="s">
        <v>603</v>
      </c>
      <c r="B26" s="454" t="s">
        <v>612</v>
      </c>
      <c r="C26" s="35"/>
      <c r="D26" s="35"/>
      <c r="E26" s="35"/>
      <c r="F26" s="35"/>
      <c r="G26" s="84"/>
    </row>
    <row r="27" spans="1:59">
      <c r="A27" s="93"/>
      <c r="B27" s="454" t="s">
        <v>659</v>
      </c>
      <c r="C27" s="35"/>
      <c r="D27" s="64">
        <f>'Key Input'!E13</f>
        <v>0.95185878577159677</v>
      </c>
      <c r="E27" s="35"/>
      <c r="F27" s="35"/>
      <c r="G27" s="84"/>
    </row>
    <row r="28" spans="1:59">
      <c r="A28" s="93"/>
      <c r="B28" s="35" t="s">
        <v>437</v>
      </c>
      <c r="C28" s="35"/>
      <c r="D28" s="389" t="s">
        <v>433</v>
      </c>
      <c r="E28" s="455">
        <v>0</v>
      </c>
      <c r="F28" s="35"/>
      <c r="G28" s="84"/>
    </row>
    <row r="29" spans="1:59">
      <c r="A29" s="93"/>
      <c r="B29" s="35"/>
      <c r="C29" s="35"/>
      <c r="D29" s="389" t="s">
        <v>446</v>
      </c>
      <c r="E29" s="455">
        <f>1-E28</f>
        <v>1</v>
      </c>
      <c r="F29" s="35"/>
      <c r="G29" s="84"/>
    </row>
    <row r="30" spans="1:59">
      <c r="A30" s="93"/>
      <c r="B30" s="35"/>
      <c r="C30" s="35"/>
      <c r="D30" s="35"/>
      <c r="E30" s="35"/>
      <c r="F30" s="35"/>
      <c r="G30" s="84"/>
    </row>
    <row r="31" spans="1:59">
      <c r="A31" s="468" t="s">
        <v>604</v>
      </c>
      <c r="B31" s="454" t="s">
        <v>605</v>
      </c>
      <c r="C31" s="35"/>
      <c r="D31" s="450">
        <f>'Key Input'!E15</f>
        <v>1500</v>
      </c>
      <c r="E31" s="453" t="s">
        <v>606</v>
      </c>
      <c r="F31" s="454" t="s">
        <v>454</v>
      </c>
      <c r="G31" s="84"/>
    </row>
    <row r="32" spans="1:59">
      <c r="A32" s="93"/>
      <c r="B32" s="454" t="s">
        <v>659</v>
      </c>
      <c r="C32" s="35"/>
      <c r="D32" s="64">
        <f>'Key Input'!E14</f>
        <v>0.95189999999999997</v>
      </c>
      <c r="E32" s="35"/>
      <c r="F32" s="35"/>
      <c r="G32" s="84"/>
    </row>
    <row r="33" spans="1:7">
      <c r="A33" s="93"/>
      <c r="B33" s="35" t="s">
        <v>437</v>
      </c>
      <c r="C33" s="35"/>
      <c r="D33" s="389" t="s">
        <v>433</v>
      </c>
      <c r="E33" s="455">
        <v>0</v>
      </c>
      <c r="F33" s="35"/>
      <c r="G33" s="84"/>
    </row>
    <row r="34" spans="1:7">
      <c r="A34" s="468"/>
      <c r="B34" s="35"/>
      <c r="C34" s="35"/>
      <c r="D34" s="389" t="s">
        <v>446</v>
      </c>
      <c r="E34" s="455">
        <f>1-E33</f>
        <v>1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660</v>
      </c>
      <c r="B36" s="504" t="s">
        <v>600</v>
      </c>
      <c r="C36" s="35"/>
      <c r="D36" s="35"/>
      <c r="E36" s="361"/>
      <c r="F36" s="35"/>
      <c r="G36" s="84"/>
    </row>
    <row r="37" spans="1:7">
      <c r="A37" s="468"/>
      <c r="B37" s="453"/>
      <c r="C37" s="35"/>
      <c r="D37" s="450">
        <f>'Key Input'!E16</f>
        <v>100</v>
      </c>
      <c r="E37" s="35" t="s">
        <v>448</v>
      </c>
      <c r="F37" s="35" t="s">
        <v>450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4" t="s">
        <v>504</v>
      </c>
      <c r="C39" s="453" t="s">
        <v>607</v>
      </c>
      <c r="D39" s="389">
        <v>150</v>
      </c>
      <c r="E39" s="454" t="s">
        <v>470</v>
      </c>
      <c r="F39" s="453" t="s">
        <v>502</v>
      </c>
      <c r="G39" s="84"/>
    </row>
    <row r="40" spans="1:7">
      <c r="A40" s="93"/>
      <c r="B40" s="35"/>
      <c r="C40" s="453" t="s">
        <v>608</v>
      </c>
      <c r="D40" s="389">
        <v>2500</v>
      </c>
      <c r="E40" s="454" t="s">
        <v>470</v>
      </c>
      <c r="F40" s="384" t="s">
        <v>503</v>
      </c>
      <c r="G40" s="84"/>
    </row>
    <row r="41" spans="1:7">
      <c r="A41" s="93"/>
      <c r="B41" s="35"/>
      <c r="C41" s="453" t="s">
        <v>609</v>
      </c>
      <c r="D41" s="389">
        <f>C12</f>
        <v>372</v>
      </c>
      <c r="E41" s="454" t="str">
        <f>D12</f>
        <v>kj/tkm</v>
      </c>
      <c r="F41" s="384"/>
      <c r="G41" s="84"/>
    </row>
    <row r="42" spans="1:7">
      <c r="A42" s="93"/>
      <c r="B42" s="35"/>
      <c r="C42" s="35"/>
      <c r="D42" s="455">
        <f>C10</f>
        <v>0.9</v>
      </c>
      <c r="E42" s="455" t="str">
        <f>D10</f>
        <v>NG</v>
      </c>
      <c r="F42" s="384"/>
      <c r="G42" s="84"/>
    </row>
    <row r="43" spans="1:7">
      <c r="A43" s="101"/>
      <c r="B43" s="102"/>
      <c r="C43" s="102"/>
      <c r="D43" s="469">
        <f>C11</f>
        <v>0.1</v>
      </c>
      <c r="E43" s="469" t="str">
        <f>D11</f>
        <v>electricity</v>
      </c>
      <c r="F43" s="470"/>
      <c r="G43" s="471"/>
    </row>
    <row r="44" spans="1:7" ht="15" thickBot="1">
      <c r="A44" s="39"/>
      <c r="B44" s="35"/>
      <c r="C44" s="35"/>
      <c r="D44" s="70"/>
      <c r="E44" s="384"/>
      <c r="F44" s="35"/>
      <c r="G44" s="40"/>
    </row>
    <row r="45" spans="1:7">
      <c r="A45" s="36" t="s">
        <v>447</v>
      </c>
      <c r="B45" s="37" t="s">
        <v>443</v>
      </c>
      <c r="C45" s="37"/>
      <c r="D45" s="447">
        <f>'Key Input'!E18</f>
        <v>0.54200000000000004</v>
      </c>
      <c r="E45" s="37"/>
      <c r="F45" s="37"/>
      <c r="G45" s="38"/>
    </row>
    <row r="46" spans="1:7">
      <c r="A46" s="39"/>
      <c r="B46" s="35" t="s">
        <v>444</v>
      </c>
      <c r="C46" s="35"/>
      <c r="D46" s="35" t="s">
        <v>438</v>
      </c>
      <c r="E46" s="64">
        <v>1</v>
      </c>
      <c r="F46" s="35"/>
      <c r="G46" s="40"/>
    </row>
    <row r="47" spans="1:7">
      <c r="A47" s="39"/>
      <c r="B47" s="536" t="s">
        <v>451</v>
      </c>
      <c r="C47" s="35"/>
      <c r="D47" s="35">
        <v>100</v>
      </c>
      <c r="E47" s="35" t="s">
        <v>448</v>
      </c>
      <c r="F47" s="35" t="s">
        <v>455</v>
      </c>
      <c r="G47" s="40"/>
    </row>
    <row r="48" spans="1:7" ht="15" thickBot="1">
      <c r="A48" s="41"/>
      <c r="B48" s="42" t="s">
        <v>452</v>
      </c>
      <c r="C48" s="42"/>
      <c r="D48" s="42" t="s">
        <v>453</v>
      </c>
      <c r="E48" s="376" t="s">
        <v>505</v>
      </c>
      <c r="F48" s="42"/>
      <c r="G48" s="43"/>
    </row>
  </sheetData>
  <phoneticPr fontId="37" type="noConversion"/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opLeftCell="AD7" zoomScale="80" zoomScaleNormal="80" workbookViewId="0">
      <selection activeCell="AO24" sqref="AO24"/>
    </sheetView>
  </sheetViews>
  <sheetFormatPr defaultRowHeight="14.4"/>
  <cols>
    <col min="4" max="4" width="12.6640625" customWidth="1"/>
    <col min="10" max="10" width="12.88671875" bestFit="1" customWidth="1"/>
    <col min="11" max="11" width="11.6640625" bestFit="1" customWidth="1"/>
    <col min="16" max="16" width="9.44140625" bestFit="1" customWidth="1"/>
    <col min="17" max="18" width="12.77734375" bestFit="1" customWidth="1"/>
    <col min="19" max="19" width="9" bestFit="1" customWidth="1"/>
    <col min="20" max="20" width="9" customWidth="1"/>
    <col min="21" max="21" width="9.44140625" bestFit="1" customWidth="1"/>
    <col min="22" max="22" width="9.44140625" customWidth="1"/>
    <col min="28" max="29" width="12.77734375" bestFit="1" customWidth="1"/>
    <col min="30" max="30" width="12.77734375" customWidth="1"/>
    <col min="31" max="31" width="9.44140625" bestFit="1" customWidth="1"/>
    <col min="32" max="40" width="9.44140625" customWidth="1"/>
    <col min="43" max="43" width="9.44140625" bestFit="1" customWidth="1"/>
    <col min="44" max="44" width="9.44140625" customWidth="1"/>
    <col min="45" max="45" width="12.77734375" bestFit="1" customWidth="1"/>
    <col min="49" max="49" width="10.44140625" bestFit="1" customWidth="1"/>
  </cols>
  <sheetData>
    <row r="1" spans="1:49" ht="15" thickBot="1">
      <c r="A1" s="36" t="s">
        <v>456</v>
      </c>
      <c r="B1" s="37" t="s">
        <v>433</v>
      </c>
      <c r="C1" s="37">
        <f>47.7</f>
        <v>47.7</v>
      </c>
      <c r="D1" s="37" t="s">
        <v>457</v>
      </c>
      <c r="E1" s="416" t="s">
        <v>954</v>
      </c>
      <c r="F1" s="37"/>
      <c r="G1" s="38"/>
      <c r="J1" s="451" t="s">
        <v>477</v>
      </c>
      <c r="O1" s="451" t="s">
        <v>497</v>
      </c>
      <c r="W1" s="451" t="s">
        <v>598</v>
      </c>
      <c r="X1" t="str">
        <f>'fuel summary'!$C$34</f>
        <v>进口LNG</v>
      </c>
      <c r="AF1" s="451" t="s">
        <v>599</v>
      </c>
      <c r="AG1" t="str">
        <f>'fuel summary'!$C$47</f>
        <v>国产气田产LNG</v>
      </c>
      <c r="AO1" s="451" t="s">
        <v>611</v>
      </c>
      <c r="AP1" t="str">
        <f>'fuel summary'!$C$60</f>
        <v>管输气产LNG</v>
      </c>
    </row>
    <row r="2" spans="1:49">
      <c r="A2" s="39"/>
      <c r="B2" s="35" t="s">
        <v>447</v>
      </c>
      <c r="C2" s="35">
        <v>40.99</v>
      </c>
      <c r="D2" s="35" t="s">
        <v>457</v>
      </c>
      <c r="E2" s="35"/>
      <c r="F2" s="35"/>
      <c r="G2" s="40"/>
      <c r="H2" s="36"/>
      <c r="I2" s="37"/>
      <c r="J2" s="456" t="s">
        <v>459</v>
      </c>
      <c r="K2" s="414" t="s">
        <v>460</v>
      </c>
      <c r="L2" s="475" t="s">
        <v>509</v>
      </c>
      <c r="N2" s="36"/>
      <c r="O2" s="37"/>
      <c r="P2" s="456" t="s">
        <v>459</v>
      </c>
      <c r="Q2" s="456" t="s">
        <v>460</v>
      </c>
      <c r="R2" s="456" t="s">
        <v>461</v>
      </c>
      <c r="S2" s="414" t="s">
        <v>510</v>
      </c>
      <c r="T2" s="475" t="s">
        <v>509</v>
      </c>
      <c r="W2" s="36"/>
      <c r="X2" s="37"/>
      <c r="Y2" s="456" t="s">
        <v>459</v>
      </c>
      <c r="Z2" s="456" t="s">
        <v>498</v>
      </c>
      <c r="AA2" s="456"/>
      <c r="AB2" s="456" t="s">
        <v>499</v>
      </c>
      <c r="AC2" s="414" t="s">
        <v>500</v>
      </c>
      <c r="AD2" s="475" t="s">
        <v>509</v>
      </c>
      <c r="AF2" s="36"/>
      <c r="AG2" s="37"/>
      <c r="AH2" s="456" t="s">
        <v>459</v>
      </c>
      <c r="AI2" s="456" t="s">
        <v>498</v>
      </c>
      <c r="AJ2" s="456"/>
      <c r="AK2" s="414" t="s">
        <v>500</v>
      </c>
      <c r="AL2" s="475" t="s">
        <v>509</v>
      </c>
      <c r="AO2" s="36"/>
      <c r="AP2" s="37"/>
      <c r="AQ2" s="456" t="s">
        <v>459</v>
      </c>
      <c r="AR2" s="456" t="s">
        <v>610</v>
      </c>
      <c r="AS2" s="456" t="s">
        <v>498</v>
      </c>
      <c r="AT2" s="456"/>
      <c r="AU2" s="414" t="s">
        <v>500</v>
      </c>
      <c r="AV2" s="475" t="s">
        <v>509</v>
      </c>
    </row>
    <row r="3" spans="1:49" ht="15" thickBot="1">
      <c r="A3" s="39"/>
      <c r="B3" s="35"/>
      <c r="C3" s="35"/>
      <c r="D3" s="35"/>
      <c r="E3" s="35"/>
      <c r="F3" s="35"/>
      <c r="G3" s="40"/>
      <c r="H3" s="39"/>
      <c r="I3" s="476" t="s">
        <v>481</v>
      </c>
      <c r="J3" s="35">
        <v>1</v>
      </c>
      <c r="K3" s="40">
        <v>1</v>
      </c>
      <c r="N3" s="39"/>
      <c r="O3" s="35"/>
      <c r="P3" s="35">
        <v>1</v>
      </c>
      <c r="Q3" s="35">
        <v>1</v>
      </c>
      <c r="R3" s="378">
        <f>1-D15</f>
        <v>0.999</v>
      </c>
      <c r="S3" s="40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</row>
    <row r="4" spans="1:49" ht="15" thickBot="1">
      <c r="A4" s="36" t="s">
        <v>433</v>
      </c>
      <c r="B4" s="37" t="s">
        <v>435</v>
      </c>
      <c r="C4" s="37"/>
      <c r="D4" s="412">
        <f>'Key Input'!E4</f>
        <v>0.96</v>
      </c>
      <c r="E4" s="37"/>
      <c r="F4" s="37"/>
      <c r="G4" s="38"/>
      <c r="H4" s="39"/>
      <c r="I4" s="476" t="s">
        <v>463</v>
      </c>
      <c r="J4" s="476" t="s">
        <v>462</v>
      </c>
      <c r="K4" s="371" t="s">
        <v>464</v>
      </c>
      <c r="N4" s="39"/>
      <c r="O4" s="476" t="s">
        <v>463</v>
      </c>
      <c r="P4" s="476" t="s">
        <v>462</v>
      </c>
      <c r="Q4" s="476" t="s">
        <v>464</v>
      </c>
      <c r="R4" s="454" t="s">
        <v>465</v>
      </c>
      <c r="S4" s="379" t="s">
        <v>478</v>
      </c>
      <c r="W4" s="39"/>
      <c r="X4" s="476" t="s">
        <v>463</v>
      </c>
      <c r="Y4" s="476" t="s">
        <v>462</v>
      </c>
      <c r="Z4" s="476" t="s">
        <v>465</v>
      </c>
      <c r="AA4" s="476"/>
      <c r="AB4" s="454" t="s">
        <v>465</v>
      </c>
      <c r="AC4" s="379" t="s">
        <v>478</v>
      </c>
      <c r="AF4" s="39"/>
      <c r="AG4" s="476" t="s">
        <v>463</v>
      </c>
      <c r="AH4" s="476" t="s">
        <v>462</v>
      </c>
      <c r="AI4" s="476" t="s">
        <v>465</v>
      </c>
      <c r="AJ4" s="476"/>
      <c r="AK4" s="379" t="s">
        <v>478</v>
      </c>
      <c r="AO4" s="39"/>
      <c r="AP4" s="476" t="s">
        <v>463</v>
      </c>
      <c r="AQ4" s="476" t="s">
        <v>462</v>
      </c>
      <c r="AR4" s="476" t="s">
        <v>613</v>
      </c>
      <c r="AS4" s="476" t="s">
        <v>465</v>
      </c>
      <c r="AT4" s="476"/>
      <c r="AU4" s="379" t="s">
        <v>478</v>
      </c>
    </row>
    <row r="5" spans="1:49" ht="15" thickBot="1">
      <c r="A5" s="39"/>
      <c r="B5" s="35" t="str">
        <f>'Key Input'!B6</f>
        <v>NG开采CH4逸散比例</v>
      </c>
      <c r="C5" s="35"/>
      <c r="D5" s="447">
        <f>'Key Input'!E6</f>
        <v>3.4344000000000002E-3</v>
      </c>
      <c r="E5" s="35" t="s">
        <v>649</v>
      </c>
      <c r="F5" s="447">
        <f>0.072*47.7/1000</f>
        <v>3.4344000000000002E-3</v>
      </c>
      <c r="G5" s="40"/>
      <c r="H5" s="39"/>
      <c r="I5" s="476"/>
      <c r="J5" s="476"/>
      <c r="K5" s="371"/>
      <c r="N5" s="39"/>
      <c r="O5" s="476"/>
      <c r="P5" s="476"/>
      <c r="Q5" s="476"/>
      <c r="R5" s="454"/>
      <c r="S5" s="379"/>
      <c r="W5" s="39"/>
      <c r="X5" s="476"/>
      <c r="Y5" s="476"/>
      <c r="Z5" s="476"/>
      <c r="AA5" s="476"/>
      <c r="AB5" s="454"/>
      <c r="AC5" s="379"/>
      <c r="AF5" s="39"/>
      <c r="AG5" s="476"/>
      <c r="AH5" s="476"/>
      <c r="AI5" s="476"/>
      <c r="AJ5" s="476"/>
      <c r="AK5" s="379"/>
      <c r="AO5" s="39"/>
      <c r="AP5" s="476"/>
      <c r="AQ5" s="476"/>
      <c r="AR5" s="476"/>
      <c r="AS5" s="476"/>
      <c r="AT5" s="476"/>
      <c r="AU5" s="379"/>
    </row>
    <row r="6" spans="1:49">
      <c r="A6" s="39"/>
      <c r="B6" s="35" t="s">
        <v>434</v>
      </c>
      <c r="C6" s="35"/>
      <c r="D6" s="412">
        <f>'Key Input'!E5</f>
        <v>0.94</v>
      </c>
      <c r="E6" s="35"/>
      <c r="F6" s="35"/>
      <c r="G6" s="40"/>
      <c r="H6" s="39"/>
      <c r="I6" s="476" t="s">
        <v>466</v>
      </c>
      <c r="J6" s="476" t="s">
        <v>471</v>
      </c>
      <c r="K6" s="371" t="s">
        <v>473</v>
      </c>
      <c r="N6" s="39"/>
      <c r="O6" s="476" t="s">
        <v>466</v>
      </c>
      <c r="P6" s="476" t="s">
        <v>471</v>
      </c>
      <c r="Q6" s="476" t="s">
        <v>473</v>
      </c>
      <c r="R6" s="454" t="s">
        <v>471</v>
      </c>
      <c r="S6" s="379" t="s">
        <v>471</v>
      </c>
      <c r="W6" s="39"/>
      <c r="X6" s="476" t="s">
        <v>466</v>
      </c>
      <c r="Y6" s="476" t="s">
        <v>471</v>
      </c>
      <c r="Z6" s="476" t="s">
        <v>473</v>
      </c>
      <c r="AA6" s="476"/>
      <c r="AB6" s="454" t="s">
        <v>471</v>
      </c>
      <c r="AC6" s="379" t="s">
        <v>471</v>
      </c>
      <c r="AF6" s="39"/>
      <c r="AG6" s="476" t="s">
        <v>466</v>
      </c>
      <c r="AH6" s="476" t="s">
        <v>471</v>
      </c>
      <c r="AI6" s="476" t="s">
        <v>473</v>
      </c>
      <c r="AJ6" s="476"/>
      <c r="AK6" s="379" t="s">
        <v>471</v>
      </c>
      <c r="AO6" s="39"/>
      <c r="AP6" s="476" t="s">
        <v>466</v>
      </c>
      <c r="AQ6" s="476" t="s">
        <v>471</v>
      </c>
      <c r="AR6" s="476"/>
      <c r="AS6" s="476" t="s">
        <v>473</v>
      </c>
      <c r="AT6" s="476"/>
      <c r="AU6" s="379" t="s">
        <v>471</v>
      </c>
    </row>
    <row r="7" spans="1:49">
      <c r="A7" s="39"/>
      <c r="B7" s="35" t="s">
        <v>436</v>
      </c>
      <c r="C7" s="35"/>
      <c r="D7" s="362">
        <f>D4*D6</f>
        <v>0.90239999999999987</v>
      </c>
      <c r="E7" s="35"/>
      <c r="F7" s="35"/>
      <c r="G7" s="40"/>
      <c r="H7" s="39"/>
      <c r="I7" s="476" t="s">
        <v>467</v>
      </c>
      <c r="J7" s="372">
        <f>(1/D7-1)*E8*1000</f>
        <v>108.15602836879457</v>
      </c>
      <c r="K7" s="373">
        <f>D9*C12/47.7/1000*C10</f>
        <v>10.528301886792452</v>
      </c>
      <c r="N7" s="39"/>
      <c r="O7" s="476" t="s">
        <v>467</v>
      </c>
      <c r="P7" s="380">
        <f>J7</f>
        <v>108.15602836879457</v>
      </c>
      <c r="Q7" s="381">
        <f>D17*C12/47.7/1000*C10</f>
        <v>2.1056603773584905</v>
      </c>
      <c r="R7" s="380">
        <f>D15/(1/D15-1)*1000</f>
        <v>1.001001001001001E-3</v>
      </c>
      <c r="S7" s="40">
        <v>0</v>
      </c>
      <c r="W7" s="39"/>
      <c r="X7" s="476" t="s">
        <v>467</v>
      </c>
      <c r="Y7" s="380">
        <f>P7</f>
        <v>108.15602836879457</v>
      </c>
      <c r="Z7" s="381">
        <f>(1/D21-1)*E22*1000</f>
        <v>0</v>
      </c>
      <c r="AA7" s="381" t="s">
        <v>502</v>
      </c>
      <c r="AB7" s="380">
        <f>D39*D24/C1/1000</f>
        <v>21.069182389937104</v>
      </c>
      <c r="AC7" s="40"/>
      <c r="AF7" s="39"/>
      <c r="AG7" s="476" t="s">
        <v>467</v>
      </c>
      <c r="AH7" s="380">
        <f>Y7</f>
        <v>108.15602836879457</v>
      </c>
      <c r="AI7" s="380">
        <f>(1/D27-1)*E28*1000</f>
        <v>106.47450110864743</v>
      </c>
      <c r="AJ7" s="381" t="s">
        <v>502</v>
      </c>
      <c r="AK7" s="40"/>
      <c r="AO7" s="39"/>
      <c r="AP7" s="476" t="s">
        <v>467</v>
      </c>
      <c r="AQ7" s="380">
        <f>AH7</f>
        <v>108.15602836879457</v>
      </c>
      <c r="AR7" s="380">
        <f>D31/D9*K7</f>
        <v>10.528301886792452</v>
      </c>
      <c r="AS7" s="380">
        <f>(1/D32-1)*E33*1000</f>
        <v>106.47450110864743</v>
      </c>
      <c r="AT7" s="381" t="s">
        <v>502</v>
      </c>
      <c r="AU7" s="40"/>
    </row>
    <row r="8" spans="1:49">
      <c r="A8" s="39"/>
      <c r="B8" s="35" t="s">
        <v>437</v>
      </c>
      <c r="C8" s="35"/>
      <c r="D8" s="35" t="s">
        <v>433</v>
      </c>
      <c r="E8" s="361">
        <v>1</v>
      </c>
      <c r="F8" s="476" t="s">
        <v>468</v>
      </c>
      <c r="G8" s="40"/>
      <c r="H8" s="39"/>
      <c r="I8" s="476" t="s">
        <v>472</v>
      </c>
      <c r="J8" s="372"/>
      <c r="K8" s="373">
        <f>D9*C12/47.7/1000*C11</f>
        <v>1.1698113207547169</v>
      </c>
      <c r="N8" s="39"/>
      <c r="O8" s="476" t="s">
        <v>472</v>
      </c>
      <c r="P8" s="380"/>
      <c r="Q8" s="381">
        <f>D17*C12/47.7/1000*C11</f>
        <v>0.2339622641509434</v>
      </c>
      <c r="R8" s="380">
        <f>D16*1000</f>
        <v>30.991744066047321</v>
      </c>
      <c r="S8" s="40">
        <v>0</v>
      </c>
      <c r="W8" s="39"/>
      <c r="X8" s="476" t="s">
        <v>472</v>
      </c>
      <c r="Y8" s="380"/>
      <c r="Z8" s="537">
        <f>(1/D21-1)*E23*1000</f>
        <v>50.420168067226932</v>
      </c>
      <c r="AA8" s="381" t="s">
        <v>503</v>
      </c>
      <c r="AB8" s="380"/>
      <c r="AC8" s="380">
        <f>D40*D37/C1/1000</f>
        <v>5.2410901467505235</v>
      </c>
      <c r="AF8" s="39"/>
      <c r="AG8" s="476" t="s">
        <v>472</v>
      </c>
      <c r="AH8" s="380"/>
      <c r="AI8" s="380">
        <f>(1/D27-1)*E29*1000</f>
        <v>2.1729490022172966</v>
      </c>
      <c r="AJ8" s="381" t="s">
        <v>503</v>
      </c>
      <c r="AK8" s="380">
        <f>AC8</f>
        <v>5.2410901467505235</v>
      </c>
      <c r="AO8" s="39"/>
      <c r="AP8" s="476" t="s">
        <v>472</v>
      </c>
      <c r="AQ8" s="380"/>
      <c r="AR8" s="380">
        <f>D31/D9*K8</f>
        <v>1.1698113207547169</v>
      </c>
      <c r="AS8" s="380">
        <f>(1/D32-1)*E34*1000</f>
        <v>2.1729490022172966</v>
      </c>
      <c r="AT8" s="381" t="s">
        <v>503</v>
      </c>
      <c r="AU8" s="380">
        <f>AK8</f>
        <v>5.2410901467505235</v>
      </c>
    </row>
    <row r="9" spans="1:49">
      <c r="A9" s="39"/>
      <c r="B9" s="476" t="s">
        <v>476</v>
      </c>
      <c r="C9" s="35"/>
      <c r="D9" s="450">
        <v>1500</v>
      </c>
      <c r="E9" s="35" t="s">
        <v>448</v>
      </c>
      <c r="F9" s="35" t="s">
        <v>454</v>
      </c>
      <c r="G9" s="40"/>
      <c r="H9" s="39"/>
      <c r="I9" s="476" t="s">
        <v>482</v>
      </c>
      <c r="J9" s="372"/>
      <c r="K9" s="373"/>
      <c r="N9" s="39"/>
      <c r="O9" s="476" t="s">
        <v>482</v>
      </c>
      <c r="P9" s="35"/>
      <c r="Q9" s="35"/>
      <c r="R9" s="35"/>
      <c r="S9" s="40"/>
      <c r="W9" s="39"/>
      <c r="X9" s="476" t="s">
        <v>482</v>
      </c>
      <c r="Y9" s="35"/>
      <c r="Z9" s="35"/>
      <c r="AA9" s="35"/>
      <c r="AB9" s="35"/>
      <c r="AC9" s="40"/>
      <c r="AF9" s="39"/>
      <c r="AG9" s="476" t="s">
        <v>482</v>
      </c>
      <c r="AH9" s="35"/>
      <c r="AI9" s="35"/>
      <c r="AJ9" s="35"/>
      <c r="AK9" s="35"/>
      <c r="AO9" s="39"/>
      <c r="AP9" s="476" t="s">
        <v>482</v>
      </c>
      <c r="AQ9" s="35"/>
      <c r="AR9" s="35"/>
      <c r="AS9" s="35"/>
      <c r="AT9" s="35"/>
      <c r="AU9" s="380"/>
    </row>
    <row r="10" spans="1:49">
      <c r="A10" s="39"/>
      <c r="B10" s="35"/>
      <c r="C10" s="361">
        <v>0.9</v>
      </c>
      <c r="D10" s="35" t="s">
        <v>433</v>
      </c>
      <c r="E10" s="35"/>
      <c r="F10" s="35"/>
      <c r="G10" s="40"/>
      <c r="H10" s="39"/>
      <c r="I10" s="35" t="str">
        <f>I7</f>
        <v>NG</v>
      </c>
      <c r="J10" s="372">
        <f>J7/K3</f>
        <v>108.15602836879457</v>
      </c>
      <c r="K10" s="373">
        <f>K7</f>
        <v>10.528301886792452</v>
      </c>
      <c r="N10" s="382"/>
      <c r="O10" s="476" t="s">
        <v>433</v>
      </c>
      <c r="P10" s="380">
        <f>P7/Q3/R3/S3</f>
        <v>108.26429266145603</v>
      </c>
      <c r="Q10" s="380">
        <f>Q7/R3/S3</f>
        <v>2.1077681455039947</v>
      </c>
      <c r="R10" s="380">
        <f>R7/S3</f>
        <v>1.001001001001001E-3</v>
      </c>
      <c r="S10" s="383">
        <f>S7</f>
        <v>0</v>
      </c>
      <c r="W10" s="382"/>
      <c r="X10" s="476" t="s">
        <v>433</v>
      </c>
      <c r="Y10" s="380">
        <f>Y7/Z3/AB3/AC3</f>
        <v>108.15602836879457</v>
      </c>
      <c r="Z10" s="380">
        <f>Z7/AB3/AC3</f>
        <v>0</v>
      </c>
      <c r="AA10" s="381" t="s">
        <v>502</v>
      </c>
      <c r="AB10" s="380">
        <f>AB7/AC3</f>
        <v>21.069182389937104</v>
      </c>
      <c r="AC10" s="383">
        <f>AC7</f>
        <v>0</v>
      </c>
      <c r="AF10" s="382"/>
      <c r="AG10" s="476" t="s">
        <v>433</v>
      </c>
      <c r="AH10" s="380">
        <f>Y10</f>
        <v>108.15602836879457</v>
      </c>
      <c r="AI10" s="380">
        <f>AI7/AK3</f>
        <v>106.47450110864743</v>
      </c>
      <c r="AJ10" s="381" t="s">
        <v>502</v>
      </c>
      <c r="AK10" s="380">
        <f>AC10</f>
        <v>0</v>
      </c>
      <c r="AO10" s="382"/>
      <c r="AP10" s="476" t="s">
        <v>433</v>
      </c>
      <c r="AQ10" s="380">
        <f>AH10</f>
        <v>108.15602836879457</v>
      </c>
      <c r="AR10" s="380">
        <f>D31/D9*K10</f>
        <v>10.528301886792452</v>
      </c>
      <c r="AS10" s="380">
        <f>AS7/AU3</f>
        <v>106.47450110864743</v>
      </c>
      <c r="AT10" s="381" t="s">
        <v>502</v>
      </c>
      <c r="AU10" s="380">
        <f t="shared" ref="AU10:AU16" si="0">AK10</f>
        <v>0</v>
      </c>
    </row>
    <row r="11" spans="1:49">
      <c r="A11" s="39"/>
      <c r="B11" s="35"/>
      <c r="C11" s="361">
        <v>0.1</v>
      </c>
      <c r="D11" s="35" t="s">
        <v>445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476" t="s">
        <v>472</v>
      </c>
      <c r="P11" s="380">
        <f>P8/Q3/R3/S3</f>
        <v>0</v>
      </c>
      <c r="Q11" s="380">
        <f>Q8/R3/S3</f>
        <v>0.23419646061155497</v>
      </c>
      <c r="R11" s="380">
        <f>R8/S3</f>
        <v>30.991744066047321</v>
      </c>
      <c r="S11" s="383">
        <f>S8</f>
        <v>0</v>
      </c>
      <c r="W11" s="382"/>
      <c r="X11" s="476" t="s">
        <v>472</v>
      </c>
      <c r="Y11" s="380">
        <f>Y8/Z3/AB3/AC3</f>
        <v>0</v>
      </c>
      <c r="Z11" s="380">
        <f>Z8/AB3/AC3</f>
        <v>50.420168067226932</v>
      </c>
      <c r="AA11" s="381" t="s">
        <v>503</v>
      </c>
      <c r="AB11" s="380">
        <f>AB8/AC3</f>
        <v>0</v>
      </c>
      <c r="AC11" s="383">
        <f>AC8</f>
        <v>5.2410901467505235</v>
      </c>
      <c r="AF11" s="382"/>
      <c r="AG11" s="476" t="s">
        <v>472</v>
      </c>
      <c r="AH11" s="380">
        <f>Y11</f>
        <v>0</v>
      </c>
      <c r="AI11" s="380">
        <f>AI8/AK3</f>
        <v>2.1729490022172966</v>
      </c>
      <c r="AJ11" s="381" t="s">
        <v>503</v>
      </c>
      <c r="AK11" s="380">
        <f>AC11</f>
        <v>5.2410901467505235</v>
      </c>
      <c r="AO11" s="382"/>
      <c r="AP11" s="476" t="s">
        <v>472</v>
      </c>
      <c r="AQ11" s="380">
        <f>AH11</f>
        <v>0</v>
      </c>
      <c r="AR11" s="380">
        <f>D31/D9*K11</f>
        <v>1.1698113207547169</v>
      </c>
      <c r="AS11" s="380">
        <f>AS8/AU3</f>
        <v>2.1729490022172966</v>
      </c>
      <c r="AT11" s="381" t="s">
        <v>503</v>
      </c>
      <c r="AU11" s="380">
        <f t="shared" si="0"/>
        <v>5.2410901467505235</v>
      </c>
    </row>
    <row r="12" spans="1:49" ht="15" thickBot="1">
      <c r="A12" s="41"/>
      <c r="B12" s="449" t="s">
        <v>469</v>
      </c>
      <c r="C12" s="448">
        <v>372</v>
      </c>
      <c r="D12" s="449" t="s">
        <v>470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</row>
    <row r="13" spans="1:49" ht="15" thickBot="1">
      <c r="A13" s="39"/>
      <c r="B13" s="35"/>
      <c r="C13" s="35"/>
      <c r="D13" s="35"/>
      <c r="E13" s="35"/>
      <c r="F13" s="35"/>
      <c r="G13" s="40"/>
      <c r="H13" s="410" t="s">
        <v>486</v>
      </c>
      <c r="I13" s="476" t="s">
        <v>491</v>
      </c>
      <c r="J13" s="372">
        <f>J10*'LC factor'!H15+'NG-based (+1)'!J11*'LC factor'!L15</f>
        <v>4.9165821196554074</v>
      </c>
      <c r="K13" s="373">
        <f>K10*'LC factor'!H15+K11*'LC factor'!L15</f>
        <v>3.2947116843928073</v>
      </c>
      <c r="L13">
        <v>0</v>
      </c>
      <c r="M13" s="366">
        <f>(J13+K13+L13)/1000</f>
        <v>8.2112938040482149E-3</v>
      </c>
      <c r="N13" s="410" t="s">
        <v>486</v>
      </c>
      <c r="O13" s="476" t="s">
        <v>491</v>
      </c>
      <c r="P13" s="35">
        <f>P10*'LC factor'!H15+P11*'LC factor'!L15</f>
        <v>4.921503623278686</v>
      </c>
      <c r="Q13" s="35">
        <f>Q10*'LC factor'!B8+Q11*'LC factor'!B12</f>
        <v>0.65960193881737883</v>
      </c>
      <c r="R13" s="35">
        <f>R10*'LC factor'!B8+R11*'LC factor'!B12</f>
        <v>74.607182964934765</v>
      </c>
      <c r="S13" s="40">
        <f>S10*'LC factor'!B8+S11*'LC factor'!B12</f>
        <v>0</v>
      </c>
      <c r="T13">
        <v>0</v>
      </c>
      <c r="U13" s="366">
        <f>P13+Q13+R13+S13+T13</f>
        <v>80.188288527030835</v>
      </c>
      <c r="V13" s="366"/>
      <c r="W13" s="410" t="s">
        <v>486</v>
      </c>
      <c r="X13" s="476" t="s">
        <v>491</v>
      </c>
      <c r="Y13" s="35">
        <f>Y10*'LC factor'!B8+Y11*'LC factor'!B12</f>
        <v>4.9165821196554074</v>
      </c>
      <c r="Z13" s="35">
        <f>Z10*'LC factor'!B8+Z11*'LC factor'!B12</f>
        <v>121.37762888695632</v>
      </c>
      <c r="AA13" s="35"/>
      <c r="AB13" s="35">
        <f>AB10*'LC factor'!B11+'LC factor'!B9*'NG-based (+1)'!AB11</f>
        <v>1.2066904095051141</v>
      </c>
      <c r="AC13" s="40">
        <f>AC10*'LC factor'!B11+'LC factor'!B9*'NG-based (+1)'!AC11</f>
        <v>0.37885787892179007</v>
      </c>
      <c r="AD13">
        <v>0</v>
      </c>
      <c r="AE13" s="366">
        <f>Y13+Z13+AB13+AC13+AD13</f>
        <v>127.87975929503862</v>
      </c>
      <c r="AF13" s="410" t="s">
        <v>486</v>
      </c>
      <c r="AG13" s="476" t="s">
        <v>491</v>
      </c>
      <c r="AH13" s="380">
        <f>Y13</f>
        <v>4.9165821196554074</v>
      </c>
      <c r="AI13" s="35">
        <f>AI10*'LC factor'!B8+AI11*'LC factor'!B12</f>
        <v>10.07113291087402</v>
      </c>
      <c r="AJ13" s="35"/>
      <c r="AK13" s="380">
        <f>AC13</f>
        <v>0.37885787892179007</v>
      </c>
      <c r="AL13">
        <v>0</v>
      </c>
      <c r="AM13" s="366">
        <f>AH13+AI13+AK13+AL13</f>
        <v>15.366572909451218</v>
      </c>
      <c r="AN13" s="366"/>
      <c r="AO13" s="410" t="s">
        <v>486</v>
      </c>
      <c r="AP13" s="476" t="s">
        <v>491</v>
      </c>
      <c r="AQ13" s="380">
        <f>AH13</f>
        <v>4.9165821196554074</v>
      </c>
      <c r="AR13" s="380">
        <f>D31/D9*K13</f>
        <v>3.2947116843928073</v>
      </c>
      <c r="AS13" s="35">
        <f>AS10*'LC factor'!B8+AS11*'LC factor'!B12</f>
        <v>10.07113291087402</v>
      </c>
      <c r="AT13" s="35"/>
      <c r="AU13" s="380">
        <f t="shared" si="0"/>
        <v>0.37885787892179007</v>
      </c>
      <c r="AV13">
        <v>0</v>
      </c>
      <c r="AW13" s="366">
        <f>AQ13+AR13+AS13+AU13+AV13</f>
        <v>18.661284593844023</v>
      </c>
    </row>
    <row r="14" spans="1:49">
      <c r="A14" s="36" t="s">
        <v>439</v>
      </c>
      <c r="B14" s="37" t="s">
        <v>440</v>
      </c>
      <c r="C14" s="37"/>
      <c r="D14" s="447">
        <f>'Key Input'!E9</f>
        <v>0.96900000000000008</v>
      </c>
      <c r="E14" s="37"/>
      <c r="F14" s="37"/>
      <c r="G14" s="38"/>
      <c r="H14" s="410" t="s">
        <v>487</v>
      </c>
      <c r="I14" s="476" t="s">
        <v>491</v>
      </c>
      <c r="J14" s="372">
        <f>J10*'LC factor'!H16+'NG-based (+1)'!J11*'LC factor'!L16</f>
        <v>114.43173126983139</v>
      </c>
      <c r="K14" s="373">
        <f>K10*'LC factor'!H16+K11*'LC factor'!L16</f>
        <v>11.358165075942514</v>
      </c>
      <c r="L14">
        <v>1000</v>
      </c>
      <c r="M14" s="366">
        <f>(J14+K14+L14)/1000</f>
        <v>1.125789896345774</v>
      </c>
      <c r="N14" s="410" t="s">
        <v>487</v>
      </c>
      <c r="O14" s="476" t="s">
        <v>491</v>
      </c>
      <c r="P14" s="35">
        <f>P10*'LC factor'!C8+P11*'LC factor'!C12</f>
        <v>114.54627754737876</v>
      </c>
      <c r="Q14" s="35">
        <f>Q10*'LC factor'!C8+Q11*'LC factor'!C12</f>
        <v>2.2739069221106143</v>
      </c>
      <c r="R14" s="35">
        <f>R10*'LC factor'!C8+R11*'LC factor'!C12</f>
        <v>5.8020439079843156</v>
      </c>
      <c r="S14" s="40">
        <f>S10*'LC factor'!C8+S11*'LC factor'!C12</f>
        <v>0</v>
      </c>
      <c r="T14">
        <v>1000</v>
      </c>
      <c r="U14" s="366">
        <f>P14+Q14+R14+S14+T14</f>
        <v>1122.6222283774737</v>
      </c>
      <c r="V14" s="366"/>
      <c r="W14" s="410" t="s">
        <v>487</v>
      </c>
      <c r="X14" s="476" t="s">
        <v>491</v>
      </c>
      <c r="Y14" s="35">
        <f>Y10*'LC factor'!C8+Y11*'LC factor'!C12</f>
        <v>114.43173126983139</v>
      </c>
      <c r="Z14" s="35">
        <f>Z10*'LC factor'!C8+Z11*'LC factor'!C12</f>
        <v>9.4375659910197349</v>
      </c>
      <c r="AA14" s="35"/>
      <c r="AB14" s="35">
        <f>AB10*'LC factor'!C11+'LC factor'!C9*'NG-based (+1)'!AB11</f>
        <v>0.94066930032412432</v>
      </c>
      <c r="AC14" s="40">
        <f>AC10*'LC factor'!C11+'LC factor'!C9*'NG-based (+1)'!AC11</f>
        <v>0.25984793010238222</v>
      </c>
      <c r="AD14">
        <v>1000</v>
      </c>
      <c r="AE14" s="366">
        <f>Y14+Z14+AB14+AC14+AD14</f>
        <v>1125.0698144912776</v>
      </c>
      <c r="AF14" s="410" t="s">
        <v>487</v>
      </c>
      <c r="AG14" s="476" t="s">
        <v>491</v>
      </c>
      <c r="AH14" s="380">
        <f>Y14</f>
        <v>114.43173126983139</v>
      </c>
      <c r="AI14" s="35">
        <f>AI10*'LC factor'!C8+AI11*'LC factor'!C12</f>
        <v>113.05936327827526</v>
      </c>
      <c r="AJ14" s="35"/>
      <c r="AK14" s="380">
        <f>AC14</f>
        <v>0.25984793010238222</v>
      </c>
      <c r="AL14">
        <v>1000</v>
      </c>
      <c r="AM14" s="366">
        <f>AH14+AI14+AK14+AL14</f>
        <v>1227.750942478209</v>
      </c>
      <c r="AN14" s="366"/>
      <c r="AO14" s="410" t="s">
        <v>487</v>
      </c>
      <c r="AP14" s="476" t="s">
        <v>491</v>
      </c>
      <c r="AQ14" s="380">
        <f>AH14</f>
        <v>114.43173126983139</v>
      </c>
      <c r="AR14" s="380">
        <f>D31/D9*K14</f>
        <v>11.358165075942514</v>
      </c>
      <c r="AS14" s="35">
        <f>AS10*'LC factor'!C8+AS11*'LC factor'!C12</f>
        <v>113.05936327827526</v>
      </c>
      <c r="AT14" s="35"/>
      <c r="AU14" s="380">
        <f t="shared" si="0"/>
        <v>0.25984793010238222</v>
      </c>
      <c r="AV14">
        <v>1000</v>
      </c>
      <c r="AW14" s="366">
        <f>AQ14+AR14+AS14+AU14+AV14</f>
        <v>1239.1091075541515</v>
      </c>
    </row>
    <row r="15" spans="1:49">
      <c r="A15" s="39"/>
      <c r="B15" s="35" t="s">
        <v>441</v>
      </c>
      <c r="C15" s="35"/>
      <c r="D15" s="64">
        <v>1E-3</v>
      </c>
      <c r="E15" s="35"/>
      <c r="F15" s="35"/>
      <c r="G15" s="40"/>
      <c r="H15" s="410" t="s">
        <v>488</v>
      </c>
      <c r="I15" s="476" t="s">
        <v>491</v>
      </c>
      <c r="J15" s="372">
        <f>J10*'LC factor'!H17+'NG-based (+1)'!J11*'LC factor'!L17</f>
        <v>5.2581924503620225</v>
      </c>
      <c r="K15" s="373">
        <f>K10*'LC factor'!H17+K11*'LC factor'!L17</f>
        <v>0.59146237839919946</v>
      </c>
      <c r="L15">
        <v>0</v>
      </c>
      <c r="M15" s="366">
        <f>(J15+K15+L15)/1000</f>
        <v>5.8496548287612221E-3</v>
      </c>
      <c r="N15" s="410" t="s">
        <v>488</v>
      </c>
      <c r="O15" s="476" t="s">
        <v>491</v>
      </c>
      <c r="P15" s="35">
        <f>P10*'LC factor'!D8+P11*'LC factor'!D12</f>
        <v>5.2634559062682911</v>
      </c>
      <c r="Q15" s="35">
        <f>Q10*'LC factor'!D8+Q11*'LC factor'!D12</f>
        <v>0.11841088656640632</v>
      </c>
      <c r="R15" s="35">
        <f>R10*'LC factor'!D8+R11*'LC factor'!D12</f>
        <v>2.1091721157306931</v>
      </c>
      <c r="S15" s="40">
        <f>S10*'LC factor'!D8+S11*'LC factor'!D12</f>
        <v>0</v>
      </c>
      <c r="T15">
        <v>0</v>
      </c>
      <c r="U15" s="366">
        <f>P15+Q15+R15+S15+T15</f>
        <v>7.4910389085653897</v>
      </c>
      <c r="V15" s="366"/>
      <c r="W15" s="410" t="s">
        <v>488</v>
      </c>
      <c r="X15" s="476" t="s">
        <v>491</v>
      </c>
      <c r="Y15" s="35">
        <f>Y10*'LC factor'!D8+Y11*'LC factor'!D12</f>
        <v>5.2581924503620225</v>
      </c>
      <c r="Z15" s="35">
        <f>Z10*'LC factor'!D8+Z11*'LC factor'!D12</f>
        <v>3.4313125009614276</v>
      </c>
      <c r="AA15" s="35"/>
      <c r="AB15" s="35">
        <f>AB10*'LC factor'!D11+'LC factor'!D9*'NG-based (+1)'!AB11</f>
        <v>23.239733999963143</v>
      </c>
      <c r="AC15" s="40">
        <f>AC10*'LC factor'!D11+'LC factor'!D9*'NG-based (+1)'!AC11</f>
        <v>6.0127285935776111</v>
      </c>
      <c r="AD15">
        <v>0</v>
      </c>
      <c r="AE15" s="366">
        <f>Y15+Z15+AB15+AC15+AD15</f>
        <v>37.941967544864205</v>
      </c>
      <c r="AF15" s="410" t="s">
        <v>488</v>
      </c>
      <c r="AG15" s="476" t="s">
        <v>491</v>
      </c>
      <c r="AH15" s="380">
        <f>Y15</f>
        <v>5.2581924503620225</v>
      </c>
      <c r="AI15" s="35">
        <f>AI10*'LC factor'!D8+AI11*'LC factor'!D12</f>
        <v>5.3243207568962232</v>
      </c>
      <c r="AJ15" s="35"/>
      <c r="AK15" s="380">
        <f>AC15</f>
        <v>6.0127285935776111</v>
      </c>
      <c r="AL15">
        <v>0</v>
      </c>
      <c r="AM15" s="366">
        <f>AH15+AI15+AK15+AL15</f>
        <v>16.595241800835858</v>
      </c>
      <c r="AN15" s="366"/>
      <c r="AO15" s="410" t="s">
        <v>488</v>
      </c>
      <c r="AP15" s="476" t="s">
        <v>491</v>
      </c>
      <c r="AQ15" s="380">
        <f>AH15</f>
        <v>5.2581924503620225</v>
      </c>
      <c r="AR15" s="380">
        <f>D31/D9*K15</f>
        <v>0.59146237839919946</v>
      </c>
      <c r="AS15" s="35">
        <f>AS10*'LC factor'!D8+AS11*'LC factor'!D12</f>
        <v>5.3243207568962232</v>
      </c>
      <c r="AT15" s="35"/>
      <c r="AU15" s="380">
        <f t="shared" si="0"/>
        <v>6.0127285935776111</v>
      </c>
      <c r="AV15">
        <v>0</v>
      </c>
      <c r="AW15" s="366">
        <f>AQ15+AR15+AS15+AU15+AV15</f>
        <v>17.186704179235058</v>
      </c>
    </row>
    <row r="16" spans="1:49">
      <c r="A16" s="39"/>
      <c r="B16" s="35" t="s">
        <v>442</v>
      </c>
      <c r="C16" s="35"/>
      <c r="D16" s="64">
        <f>1/D14-1-D15</f>
        <v>3.0991744066047322E-2</v>
      </c>
      <c r="E16" s="35"/>
      <c r="F16" s="35"/>
      <c r="G16" s="40"/>
      <c r="H16" s="410" t="s">
        <v>489</v>
      </c>
      <c r="I16" s="476" t="s">
        <v>491</v>
      </c>
      <c r="J16" s="372">
        <f>J13+J14+J15</f>
        <v>124.60650583984881</v>
      </c>
      <c r="K16" s="373">
        <f>K13+K14+K15</f>
        <v>15.244339138734521</v>
      </c>
      <c r="L16" s="373">
        <f>L13+L14+L15</f>
        <v>1000</v>
      </c>
      <c r="M16" s="366">
        <f>(J16+K16+L16)/1000</f>
        <v>1.1398508449785834</v>
      </c>
      <c r="N16" s="410" t="s">
        <v>489</v>
      </c>
      <c r="O16" s="476" t="s">
        <v>491</v>
      </c>
      <c r="P16" s="372">
        <f>P13+P14+P15</f>
        <v>124.73123707692574</v>
      </c>
      <c r="Q16" s="372">
        <f>Q13+Q14+Q15</f>
        <v>3.0519197474943995</v>
      </c>
      <c r="R16" s="372">
        <f>R13+R14+R15</f>
        <v>82.518398988649764</v>
      </c>
      <c r="S16" s="373">
        <f>S13+S14+S15</f>
        <v>0</v>
      </c>
      <c r="T16" s="373">
        <f>T13+T14+T15</f>
        <v>1000</v>
      </c>
      <c r="U16" s="366">
        <f>P16+Q16+R16+S16+T16</f>
        <v>1210.3015558130699</v>
      </c>
      <c r="V16" s="366"/>
      <c r="W16" s="410" t="s">
        <v>489</v>
      </c>
      <c r="X16" s="476" t="s">
        <v>491</v>
      </c>
      <c r="Y16" s="372">
        <f>Y13+Y14+Y15</f>
        <v>124.60650583984881</v>
      </c>
      <c r="Z16" s="372">
        <f>Z13+Z14+Z15</f>
        <v>134.24650737893748</v>
      </c>
      <c r="AA16" s="372"/>
      <c r="AB16" s="372">
        <f>AB13+AB14+AB15</f>
        <v>25.387093709792381</v>
      </c>
      <c r="AC16" s="373">
        <f>AC13+AC14+AC15</f>
        <v>6.6514344026017831</v>
      </c>
      <c r="AD16" s="373">
        <f>AD13+AD14+AD15</f>
        <v>1000</v>
      </c>
      <c r="AE16" s="366">
        <f>Y16+Z16+AB16+AC16+AD16</f>
        <v>1290.8915413311804</v>
      </c>
      <c r="AF16" s="410" t="s">
        <v>489</v>
      </c>
      <c r="AG16" s="476" t="s">
        <v>491</v>
      </c>
      <c r="AH16" s="380">
        <f>Y16</f>
        <v>124.60650583984881</v>
      </c>
      <c r="AI16" s="372">
        <f>AI13+AI14+AI15</f>
        <v>128.4548169460455</v>
      </c>
      <c r="AJ16" s="372"/>
      <c r="AK16" s="380">
        <f>AC16</f>
        <v>6.6514344026017831</v>
      </c>
      <c r="AL16" s="373">
        <f>AL13+AL14+AL15</f>
        <v>1000</v>
      </c>
      <c r="AM16" s="366">
        <f>AH16+AI16+AK16+AL16</f>
        <v>1259.7127571884962</v>
      </c>
      <c r="AN16" s="366"/>
      <c r="AO16" s="410" t="s">
        <v>489</v>
      </c>
      <c r="AP16" s="476" t="s">
        <v>491</v>
      </c>
      <c r="AQ16" s="380">
        <f>AH16</f>
        <v>124.60650583984881</v>
      </c>
      <c r="AR16" s="380">
        <f>D31/D9*K16</f>
        <v>15.244339138734521</v>
      </c>
      <c r="AS16" s="372">
        <f>AS13+AS14+AS15</f>
        <v>128.4548169460455</v>
      </c>
      <c r="AT16" s="372"/>
      <c r="AU16" s="380">
        <f t="shared" si="0"/>
        <v>6.6514344026017831</v>
      </c>
      <c r="AV16" s="373">
        <f>AV13+AV14+AV15</f>
        <v>1000</v>
      </c>
      <c r="AW16" s="366">
        <f>AQ16+AR16+AS16+AU16+AV16</f>
        <v>1274.9570963272306</v>
      </c>
    </row>
    <row r="17" spans="1:49">
      <c r="A17" s="39"/>
      <c r="B17" s="476" t="s">
        <v>475</v>
      </c>
      <c r="C17" s="35"/>
      <c r="D17" s="367">
        <f>'Key Input'!E8</f>
        <v>300</v>
      </c>
      <c r="E17" s="35" t="s">
        <v>448</v>
      </c>
      <c r="F17" s="35" t="s">
        <v>454</v>
      </c>
      <c r="G17" s="40"/>
      <c r="H17" s="39"/>
      <c r="I17" s="35"/>
      <c r="J17" s="372"/>
      <c r="K17" s="373"/>
      <c r="M17" s="436">
        <f>1/M16</f>
        <v>0.8773077674200338</v>
      </c>
      <c r="N17" s="39"/>
      <c r="O17" s="35"/>
      <c r="P17" s="35"/>
      <c r="Q17" s="35"/>
      <c r="R17" s="35"/>
      <c r="S17" s="40"/>
      <c r="U17" s="463">
        <f>1000/U16</f>
        <v>0.82624036563202541</v>
      </c>
      <c r="V17" s="463"/>
      <c r="W17" s="39"/>
      <c r="X17" s="35"/>
      <c r="Y17" s="35"/>
      <c r="Z17" s="35"/>
      <c r="AA17" s="35"/>
      <c r="AB17" s="35"/>
      <c r="AC17" s="40"/>
      <c r="AE17" s="463">
        <f>1000/AE16</f>
        <v>0.77465841860640738</v>
      </c>
      <c r="AF17" s="39"/>
      <c r="AG17" s="35"/>
      <c r="AH17" s="35"/>
      <c r="AI17" s="35"/>
      <c r="AJ17" s="35"/>
      <c r="AK17" s="35"/>
      <c r="AM17" s="463">
        <f>1000/AM16</f>
        <v>0.79383176386326437</v>
      </c>
      <c r="AN17" s="463"/>
      <c r="AO17" s="39"/>
      <c r="AP17" s="35"/>
      <c r="AQ17" s="35"/>
      <c r="AR17" s="35"/>
      <c r="AS17" s="35"/>
      <c r="AT17" s="35"/>
      <c r="AU17" s="380"/>
      <c r="AW17" s="463">
        <f>1000/AW16</f>
        <v>0.78434011848767338</v>
      </c>
    </row>
    <row r="18" spans="1:49">
      <c r="A18" s="39"/>
      <c r="B18" s="35"/>
      <c r="C18" s="361">
        <v>0.9</v>
      </c>
      <c r="D18" s="35" t="s">
        <v>433</v>
      </c>
      <c r="E18" s="35"/>
      <c r="F18" s="35"/>
      <c r="G18" s="40"/>
      <c r="H18" s="410" t="s">
        <v>490</v>
      </c>
      <c r="I18" s="527" t="s">
        <v>492</v>
      </c>
      <c r="J18" s="372">
        <f>J10*'LC factor'!H18+J11*'LC factor'!L18</f>
        <v>7293.9759327798283</v>
      </c>
      <c r="K18" s="373">
        <f>K10*'LC factor'!H18+K11*'LC factor'!L18</f>
        <v>958.25792612362227</v>
      </c>
      <c r="L18" s="532">
        <f>57700*0.99</f>
        <v>57123</v>
      </c>
      <c r="M18" s="366">
        <f>(J18+K18+L18)/1000</f>
        <v>65.375233858903442</v>
      </c>
      <c r="N18" s="410" t="s">
        <v>490</v>
      </c>
      <c r="O18" s="527" t="s">
        <v>492</v>
      </c>
      <c r="P18" s="35">
        <f>P10*'LC factor'!H18+P11*'LC factor'!L18</f>
        <v>7301.2772099898184</v>
      </c>
      <c r="Q18" s="527">
        <f>Q10*'LC factor'!H18+Q11*'LC factor'!L18</f>
        <v>191.84342865337786</v>
      </c>
      <c r="R18" s="527">
        <f>R10*'LC factor'!H18+R11*'LC factor'!L18</f>
        <v>6576.5624819434179</v>
      </c>
      <c r="S18" s="371">
        <f>S10*'LC factor'!H18+S11*'LC factor'!L18</f>
        <v>0</v>
      </c>
      <c r="T18" s="532">
        <f>57700*0.99</f>
        <v>57123</v>
      </c>
      <c r="W18" s="410" t="s">
        <v>490</v>
      </c>
      <c r="X18" s="527" t="s">
        <v>492</v>
      </c>
      <c r="Y18" s="35">
        <f>Y10*'LC factor'!H18+Y11*'LC factor'!L18</f>
        <v>7293.9759327798283</v>
      </c>
      <c r="Z18" s="527">
        <f>Z10*'LC factor'!H18+Z11*'LC factor'!L18</f>
        <v>10699.235939376766</v>
      </c>
      <c r="AA18" s="527"/>
      <c r="AB18" s="527">
        <f>AB10*'LC factor'!L11+'LC factor'!L9*AB11</f>
        <v>1905.6531263783158</v>
      </c>
      <c r="AC18" s="371">
        <f>AC10*'LC factor'!L11+'LC factor'!L9*AC11</f>
        <v>481.64016776563949</v>
      </c>
      <c r="AD18" s="532">
        <f>57700*0.99</f>
        <v>57123</v>
      </c>
      <c r="AF18" s="410" t="s">
        <v>490</v>
      </c>
      <c r="AG18" s="527" t="s">
        <v>492</v>
      </c>
      <c r="AH18" s="380">
        <f>Y18</f>
        <v>7293.9759327798283</v>
      </c>
      <c r="AI18" s="527">
        <f>AI10*'LC factor'!H18+AI11*'LC factor'!L18</f>
        <v>7641.6778356213763</v>
      </c>
      <c r="AJ18" s="527"/>
      <c r="AK18" s="380">
        <f>AC18</f>
        <v>481.64016776563949</v>
      </c>
      <c r="AL18" s="532">
        <f>57700*0.99</f>
        <v>57123</v>
      </c>
      <c r="AO18" s="410" t="s">
        <v>490</v>
      </c>
      <c r="AP18" s="527" t="s">
        <v>492</v>
      </c>
      <c r="AQ18" s="380">
        <f>AH18</f>
        <v>7293.9759327798283</v>
      </c>
      <c r="AR18" s="380">
        <f>D31/D9*K18</f>
        <v>958.25792612362227</v>
      </c>
      <c r="AS18" s="527">
        <f>AS10*'LC factor'!H18+AS11*'LC factor'!L18</f>
        <v>7641.6778356213763</v>
      </c>
      <c r="AT18" s="527"/>
      <c r="AU18" s="380">
        <f t="shared" ref="AU18:AU21" si="1">AK18</f>
        <v>481.64016776563949</v>
      </c>
      <c r="AV18" s="532">
        <f>57700*0.99</f>
        <v>57123</v>
      </c>
    </row>
    <row r="19" spans="1:49" ht="15" thickBot="1">
      <c r="A19" s="41"/>
      <c r="B19" s="42"/>
      <c r="C19" s="452">
        <v>0.1</v>
      </c>
      <c r="D19" s="42" t="s">
        <v>445</v>
      </c>
      <c r="E19" s="42"/>
      <c r="F19" s="42"/>
      <c r="G19" s="43"/>
      <c r="H19" s="410" t="s">
        <v>493</v>
      </c>
      <c r="I19" s="527" t="s">
        <v>492</v>
      </c>
      <c r="J19" s="532">
        <f>(J10*'LC factor'!H19+J11*'LC factor'!L19)/1+(72/F5*D5)</f>
        <v>82.425169497414885</v>
      </c>
      <c r="K19" s="373">
        <f>(K10*'LC factor'!H19+K11*'LC factor'!L19)/1</f>
        <v>2.1781169934031439</v>
      </c>
      <c r="L19">
        <v>0</v>
      </c>
      <c r="M19" s="366">
        <f>(J19+K19+L19)/1000</f>
        <v>8.4603286490818025E-2</v>
      </c>
      <c r="N19" s="410" t="s">
        <v>493</v>
      </c>
      <c r="O19" s="527" t="s">
        <v>492</v>
      </c>
      <c r="P19" s="527">
        <f>(P10*'LC factor'!H19+P11*'LC factor'!L19)/1+(72/F5*D5)</f>
        <v>82.435605102517414</v>
      </c>
      <c r="Q19" s="527">
        <f>(Q10*'LC factor'!H19+Q11*'LC factor'!L19)/1</f>
        <v>0.43605945813876762</v>
      </c>
      <c r="R19" s="527">
        <f>(R10*'LC factor'!H19+R11*'LC factor'!L19)/1</f>
        <v>30.819151283445795</v>
      </c>
      <c r="S19" s="371">
        <f>(S10*'LC factor'!H19+S11*'LC factor'!L19)/1</f>
        <v>0</v>
      </c>
      <c r="T19">
        <v>0</v>
      </c>
      <c r="W19" s="410" t="s">
        <v>493</v>
      </c>
      <c r="X19" s="527" t="s">
        <v>492</v>
      </c>
      <c r="Y19" s="527">
        <f>(Y10*'LC factor'!H19+Y11*'LC factor'!L19)/1+(72/F5*D5)</f>
        <v>82.425169497414885</v>
      </c>
      <c r="Z19" s="527">
        <f>(Z10*'LC factor'!H19+Z11*'LC factor'!L19)/1</f>
        <v>50.139221568801446</v>
      </c>
      <c r="AA19" s="527"/>
      <c r="AB19" s="527">
        <f>AB10*'LC factor'!M11+'LC factor'!M9*AB11</f>
        <v>0.81787748828790086</v>
      </c>
      <c r="AC19" s="371">
        <f>AC10*'LC factor'!M19+'LC factor'!M19*AC11</f>
        <v>0</v>
      </c>
      <c r="AD19">
        <v>0</v>
      </c>
      <c r="AF19" s="410" t="s">
        <v>493</v>
      </c>
      <c r="AG19" s="527" t="s">
        <v>492</v>
      </c>
      <c r="AH19" s="380">
        <f>Y19</f>
        <v>82.425169497414885</v>
      </c>
      <c r="AI19" s="527">
        <f>(AI10*'LC factor'!H19+AI11*'LC factor'!L19)/1</f>
        <v>12.423928031552515</v>
      </c>
      <c r="AJ19" s="527"/>
      <c r="AK19" s="380">
        <f>AC19</f>
        <v>0</v>
      </c>
      <c r="AL19">
        <v>0</v>
      </c>
      <c r="AO19" s="410" t="s">
        <v>493</v>
      </c>
      <c r="AP19" s="527" t="s">
        <v>492</v>
      </c>
      <c r="AQ19" s="380">
        <f>AH19</f>
        <v>82.425169497414885</v>
      </c>
      <c r="AR19" s="380">
        <f>D31/D9*K19</f>
        <v>2.1781169934031439</v>
      </c>
      <c r="AS19" s="527">
        <f>(AS10*'LC factor'!H19+AS11*'LC factor'!L19)/1</f>
        <v>12.423928031552515</v>
      </c>
      <c r="AT19" s="527"/>
      <c r="AU19" s="380">
        <f t="shared" si="1"/>
        <v>0</v>
      </c>
      <c r="AV19">
        <v>0</v>
      </c>
    </row>
    <row r="20" spans="1:49">
      <c r="A20" s="39"/>
      <c r="B20" s="35"/>
      <c r="C20" s="35"/>
      <c r="D20" s="35"/>
      <c r="E20" s="35"/>
      <c r="F20" s="35"/>
      <c r="G20" s="40"/>
      <c r="H20" s="39" t="s">
        <v>494</v>
      </c>
      <c r="I20" s="689" t="s">
        <v>1015</v>
      </c>
      <c r="J20" s="372">
        <f>(J10*'LC factor'!H20+J11*'LC factor'!L20)/1000</f>
        <v>1.5325798843518956E-4</v>
      </c>
      <c r="K20" s="373">
        <f>(K10*'LC factor'!H20+K11*'LC factor'!L20)/1000</f>
        <v>1.8826877950371856E-5</v>
      </c>
      <c r="L20">
        <v>0</v>
      </c>
      <c r="M20" s="366">
        <f>(J20+K20+L20)/1000</f>
        <v>1.7208486638556142E-7</v>
      </c>
      <c r="N20" s="39" t="s">
        <v>494</v>
      </c>
      <c r="O20" s="689" t="s">
        <v>1015</v>
      </c>
      <c r="P20" s="527">
        <f>(P10*'LC factor'!H20+P11*'LC factor'!L20)/1000</f>
        <v>1.534113998350246E-4</v>
      </c>
      <c r="Q20" s="527">
        <f>(Q10*'LC factor'!H20+Q11*'LC factor'!L20)/1000</f>
        <v>3.7691447348091811E-6</v>
      </c>
      <c r="R20" s="527">
        <f>(R10*'LC factor'!H20+R11*'LC factor'!L20)/1000</f>
        <v>1.0354079017600139E-4</v>
      </c>
      <c r="S20" s="371">
        <f>(S10*'LC factor'!H20+S11*'LC factor'!L20)/1000</f>
        <v>0</v>
      </c>
      <c r="T20">
        <v>0</v>
      </c>
      <c r="W20" s="39" t="s">
        <v>494</v>
      </c>
      <c r="X20" s="689" t="s">
        <v>1015</v>
      </c>
      <c r="Y20" s="527">
        <f>(Y10*'LC factor'!H20+Y11*'LC factor'!L20)/1000</f>
        <v>1.5325798843518956E-4</v>
      </c>
      <c r="Z20" s="527">
        <f>(Z10*'LC factor'!H20+Z11*'LC factor'!L20)/1000</f>
        <v>1.6844720045598954E-4</v>
      </c>
      <c r="AA20" s="527"/>
      <c r="AB20" s="527">
        <f>(AB10*'LC factor'!N20+'LC factor'!N20*AB11)/1000</f>
        <v>0</v>
      </c>
      <c r="AC20" s="371">
        <f>(AC10*'LC factor'!N20+'LC factor'!N20*AC11)/1000</f>
        <v>0</v>
      </c>
      <c r="AD20">
        <v>0</v>
      </c>
      <c r="AF20" s="39" t="s">
        <v>494</v>
      </c>
      <c r="AG20" s="689" t="s">
        <v>1015</v>
      </c>
      <c r="AH20" s="380">
        <f>Y20</f>
        <v>1.5325798843518956E-4</v>
      </c>
      <c r="AI20" s="527">
        <f>(AI10*'LC factor'!H20+AI11*'LC factor'!L20)/1000</f>
        <v>1.5813478936734261E-4</v>
      </c>
      <c r="AJ20" s="527"/>
      <c r="AK20" s="380">
        <f>AC20</f>
        <v>0</v>
      </c>
      <c r="AL20">
        <v>0</v>
      </c>
      <c r="AO20" s="39" t="s">
        <v>494</v>
      </c>
      <c r="AP20" s="689" t="s">
        <v>1015</v>
      </c>
      <c r="AQ20" s="380">
        <f>AH20</f>
        <v>1.5325798843518956E-4</v>
      </c>
      <c r="AR20" s="380">
        <f>D31/D9*K20</f>
        <v>1.8826877950371856E-5</v>
      </c>
      <c r="AS20" s="527">
        <f>(AS10*'LC factor'!H20+AS11*'LC factor'!L20)/1000</f>
        <v>1.5813478936734261E-4</v>
      </c>
      <c r="AT20" s="527"/>
      <c r="AU20" s="380">
        <f t="shared" si="1"/>
        <v>0</v>
      </c>
      <c r="AV20">
        <v>0</v>
      </c>
    </row>
    <row r="21" spans="1:49" ht="15" thickBot="1">
      <c r="A21" s="466" t="s">
        <v>601</v>
      </c>
      <c r="B21" s="108" t="s">
        <v>658</v>
      </c>
      <c r="C21" s="108"/>
      <c r="D21" s="111">
        <v>0.95199999999999996</v>
      </c>
      <c r="E21" s="108"/>
      <c r="F21" s="108"/>
      <c r="G21" s="467"/>
      <c r="H21" s="376" t="s">
        <v>495</v>
      </c>
      <c r="I21" s="376" t="s">
        <v>496</v>
      </c>
      <c r="J21" s="377">
        <f>(J18+J19*25+J20*0.298)/1000</f>
        <v>9.35460521588608</v>
      </c>
      <c r="K21" s="377">
        <f>(K18+K19*25+K20*0.298)/1000</f>
        <v>1.0127108565691105</v>
      </c>
      <c r="L21" s="377">
        <f>(L18+L19*25+L20*0.298)/1000</f>
        <v>57.122999999999998</v>
      </c>
      <c r="M21" s="366">
        <f>(J21+K21+L21)</f>
        <v>67.490316072455187</v>
      </c>
      <c r="N21" s="375" t="s">
        <v>495</v>
      </c>
      <c r="O21" s="376" t="s">
        <v>496</v>
      </c>
      <c r="P21" s="377">
        <f>(P18+P19*25+P20*0.298)/1000</f>
        <v>9.3621673832693499</v>
      </c>
      <c r="Q21" s="377">
        <f>(Q18+Q19*25+Q20*0.298)/1000</f>
        <v>0.2027449162300522</v>
      </c>
      <c r="R21" s="377">
        <f>(R18+R19*25+R20*0.298)/1000</f>
        <v>7.3470412948847175</v>
      </c>
      <c r="S21" s="377">
        <f>(S18+S19*25+S20*0.298)/1000</f>
        <v>0</v>
      </c>
      <c r="T21" s="377">
        <f>(T18+T19*25+T20*0.298)/1000</f>
        <v>57.122999999999998</v>
      </c>
      <c r="U21" s="462">
        <f>P21+Q21+R21+S21+T21</f>
        <v>74.03495359438412</v>
      </c>
      <c r="V21" s="366"/>
      <c r="W21" s="375" t="s">
        <v>495</v>
      </c>
      <c r="X21" s="376" t="s">
        <v>496</v>
      </c>
      <c r="Y21" s="377">
        <f>(Y18+Y19*25+Y20*0.298)/1000</f>
        <v>9.35460521588608</v>
      </c>
      <c r="Z21" s="377">
        <f>(Z18+Z19*25+Z20*0.298)/1000</f>
        <v>11.952716528794069</v>
      </c>
      <c r="AA21" s="377"/>
      <c r="AB21" s="377">
        <f>(AB18+AB19*25+AB20*0.298)/1000</f>
        <v>1.9261000635855134</v>
      </c>
      <c r="AC21" s="377">
        <f>(AC18+AC19*25+AC20*0.298)/1000</f>
        <v>0.4816401677656395</v>
      </c>
      <c r="AD21" s="377">
        <f>(AD18+AD19*25+AD20*0.298)/1000</f>
        <v>57.122999999999998</v>
      </c>
      <c r="AE21" s="462">
        <f>Y21+Z21+AB21+AC21+AD21</f>
        <v>80.838061976031298</v>
      </c>
      <c r="AF21" s="375" t="s">
        <v>495</v>
      </c>
      <c r="AG21" s="376" t="s">
        <v>496</v>
      </c>
      <c r="AH21" s="377">
        <f>(AH18+AH19*25+AH20*0.298)/1000</f>
        <v>9.35460521588608</v>
      </c>
      <c r="AI21" s="377">
        <f>(AI18+AI19*25+AI20*0.298)/1000</f>
        <v>7.9522760835343567</v>
      </c>
      <c r="AJ21" s="377"/>
      <c r="AK21" s="377">
        <f>(AK18+AK19*25+AK20*0.298)/1000</f>
        <v>0.4816401677656395</v>
      </c>
      <c r="AL21" s="377">
        <f>(AL18+AL19*25+AL20*0.298)/1000</f>
        <v>57.122999999999998</v>
      </c>
      <c r="AM21" s="462">
        <f>AH21+AI21+AK21+AL21</f>
        <v>74.911521467186077</v>
      </c>
      <c r="AN21" s="366"/>
      <c r="AO21" s="375" t="s">
        <v>495</v>
      </c>
      <c r="AP21" s="376" t="s">
        <v>496</v>
      </c>
      <c r="AQ21" s="380">
        <f>AH21</f>
        <v>9.35460521588608</v>
      </c>
      <c r="AR21" s="377">
        <f>(AR18+AR19*25+AR20*0.298)/1000</f>
        <v>1.0127108565691105</v>
      </c>
      <c r="AS21" s="377">
        <f>(AS18+AS19*25+AS20*0.298)/1000</f>
        <v>7.9522760835343567</v>
      </c>
      <c r="AT21" s="377"/>
      <c r="AU21" s="380">
        <f t="shared" si="1"/>
        <v>0.4816401677656395</v>
      </c>
      <c r="AV21" s="377">
        <f>(AV18+AV19*25+AV20*0.298)/1000</f>
        <v>57.122999999999998</v>
      </c>
      <c r="AW21" s="462">
        <f>AQ21+AR21+AS21+AU21+AV21</f>
        <v>75.924232323755177</v>
      </c>
    </row>
    <row r="22" spans="1:49">
      <c r="A22" s="93"/>
      <c r="B22" s="35" t="s">
        <v>437</v>
      </c>
      <c r="C22" s="35"/>
      <c r="D22" s="389" t="s">
        <v>433</v>
      </c>
      <c r="E22" s="455">
        <v>0</v>
      </c>
      <c r="F22" s="35"/>
      <c r="G22" s="84"/>
      <c r="J22" s="463">
        <f>J21/M21</f>
        <v>0.13860662922134356</v>
      </c>
      <c r="K22" s="463">
        <f>K21/M21</f>
        <v>1.5005276541924925E-2</v>
      </c>
      <c r="L22" s="463">
        <f>L21/M21</f>
        <v>0.84638809423673156</v>
      </c>
      <c r="P22" s="463">
        <f>P21/U21</f>
        <v>0.12645604445924191</v>
      </c>
      <c r="Q22" s="463">
        <f>Q21/U21</f>
        <v>2.7385026448565413E-3</v>
      </c>
      <c r="R22" s="463">
        <f>R21/U21</f>
        <v>9.9237467414878253E-2</v>
      </c>
      <c r="S22" s="463">
        <f>S21/U21</f>
        <v>0</v>
      </c>
      <c r="T22" s="463">
        <f>T21/U21</f>
        <v>0.77156798548102323</v>
      </c>
      <c r="Y22" s="463">
        <f>Y21/AE21</f>
        <v>0.1157203053514537</v>
      </c>
      <c r="Z22" s="463">
        <f>Z21/AE21</f>
        <v>0.14786000847395478</v>
      </c>
      <c r="AA22" s="463"/>
      <c r="AB22" s="463">
        <f>AB21/AE21</f>
        <v>2.3826648196447451E-2</v>
      </c>
      <c r="AC22" s="463">
        <f>AC21/AE21</f>
        <v>5.9580865249892695E-3</v>
      </c>
      <c r="AD22" s="463">
        <f>AD21/AE21</f>
        <v>0.7066349514531548</v>
      </c>
      <c r="AG22" s="463"/>
      <c r="AH22" s="463">
        <f>AH21/AM21</f>
        <v>0.1248753867585473</v>
      </c>
      <c r="AI22" s="463">
        <f>AI21/AM21</f>
        <v>0.10615558098119443</v>
      </c>
      <c r="AJ22" s="463"/>
      <c r="AK22" s="463">
        <f>AK21/AM21</f>
        <v>6.4294538187508994E-3</v>
      </c>
      <c r="AL22" s="463">
        <f>AL21/AM21</f>
        <v>0.76253957844150733</v>
      </c>
      <c r="AQ22" s="463">
        <f>AQ21/AW21</f>
        <v>0.12320974384036294</v>
      </c>
      <c r="AR22" s="463">
        <f>AR21/AW21</f>
        <v>1.3338440515943861E-2</v>
      </c>
      <c r="AS22" s="463">
        <f>AS21/AW21</f>
        <v>0.10473963107884132</v>
      </c>
      <c r="AT22" s="463"/>
      <c r="AU22" s="463">
        <f>AU21/AW21</f>
        <v>6.3436949314394833E-3</v>
      </c>
      <c r="AV22" s="463">
        <f>AV21/AW21</f>
        <v>0.75236848963341252</v>
      </c>
    </row>
    <row r="23" spans="1:49">
      <c r="A23" s="93"/>
      <c r="B23" s="35"/>
      <c r="C23" s="35"/>
      <c r="D23" s="389" t="s">
        <v>446</v>
      </c>
      <c r="E23" s="455">
        <f>1-E22</f>
        <v>1</v>
      </c>
      <c r="F23" s="35"/>
      <c r="G23" s="84"/>
      <c r="AE23">
        <f>AE21/'NG-based'!AE21</f>
        <v>1.0617627437993955</v>
      </c>
      <c r="AM23" s="463">
        <f>AM21/AE21</f>
        <v>0.92668626184281289</v>
      </c>
      <c r="AN23">
        <f>AM21/'NG-based'!AM21</f>
        <v>0.94886080583761101</v>
      </c>
      <c r="AW23">
        <f>AW21/'NG-based'!AW21</f>
        <v>0.94963654417254761</v>
      </c>
    </row>
    <row r="24" spans="1:49">
      <c r="A24" s="93"/>
      <c r="B24" s="476" t="s">
        <v>602</v>
      </c>
      <c r="C24" s="35"/>
      <c r="D24" s="450">
        <f>'Key Input'!E12</f>
        <v>6700</v>
      </c>
      <c r="E24" s="361" t="s">
        <v>448</v>
      </c>
      <c r="F24" s="35" t="s">
        <v>449</v>
      </c>
      <c r="G24" s="84"/>
      <c r="AE24">
        <f>90.4/AE21</f>
        <v>1.1182850972701925</v>
      </c>
      <c r="AM24">
        <f>88.4/AM21</f>
        <v>1.1800587982814148</v>
      </c>
      <c r="AW24">
        <f>89.4/AW21</f>
        <v>1.1774896796951679</v>
      </c>
    </row>
    <row r="25" spans="1:49">
      <c r="A25" s="93"/>
      <c r="B25" s="35"/>
      <c r="C25" s="35"/>
      <c r="D25" s="35"/>
      <c r="E25" s="35"/>
      <c r="F25" s="35"/>
      <c r="G25" s="84"/>
      <c r="AE25">
        <f>74.7/AE21</f>
        <v>0.92406965449207268</v>
      </c>
      <c r="AM25">
        <f>73.5/AM21</f>
        <v>0.98115748499642508</v>
      </c>
      <c r="AW25">
        <f>74.3/AW21</f>
        <v>0.978607194645984</v>
      </c>
    </row>
    <row r="26" spans="1:49">
      <c r="A26" s="468" t="s">
        <v>603</v>
      </c>
      <c r="B26" s="454" t="s">
        <v>612</v>
      </c>
      <c r="C26" s="35"/>
      <c r="D26" s="35"/>
      <c r="E26" s="35"/>
      <c r="F26" s="35"/>
      <c r="G26" s="84"/>
    </row>
    <row r="27" spans="1:49">
      <c r="A27" s="93"/>
      <c r="B27" s="454" t="s">
        <v>659</v>
      </c>
      <c r="C27" s="35"/>
      <c r="D27" s="64">
        <v>0.90200000000000002</v>
      </c>
      <c r="E27" s="35"/>
      <c r="F27" s="35"/>
      <c r="G27" s="84"/>
    </row>
    <row r="28" spans="1:49">
      <c r="A28" s="93"/>
      <c r="B28" s="35" t="s">
        <v>437</v>
      </c>
      <c r="C28" s="35"/>
      <c r="D28" s="389" t="s">
        <v>433</v>
      </c>
      <c r="E28" s="455">
        <v>0.98</v>
      </c>
      <c r="F28" s="35"/>
      <c r="G28" s="84"/>
    </row>
    <row r="29" spans="1:49">
      <c r="A29" s="93"/>
      <c r="B29" s="35"/>
      <c r="C29" s="35"/>
      <c r="D29" s="389" t="s">
        <v>446</v>
      </c>
      <c r="E29" s="455">
        <f>1-E28</f>
        <v>2.0000000000000018E-2</v>
      </c>
      <c r="F29" s="35"/>
      <c r="G29" s="84"/>
    </row>
    <row r="30" spans="1:49">
      <c r="A30" s="93"/>
      <c r="B30" s="35"/>
      <c r="C30" s="35"/>
      <c r="D30" s="35"/>
      <c r="E30" s="35"/>
      <c r="F30" s="35"/>
      <c r="G30" s="84"/>
    </row>
    <row r="31" spans="1:49">
      <c r="A31" s="468" t="s">
        <v>604</v>
      </c>
      <c r="B31" s="454" t="s">
        <v>605</v>
      </c>
      <c r="C31" s="35"/>
      <c r="D31" s="450">
        <f>'Key Input'!E15</f>
        <v>1500</v>
      </c>
      <c r="E31" s="476" t="s">
        <v>606</v>
      </c>
      <c r="F31" s="454" t="s">
        <v>454</v>
      </c>
      <c r="G31" s="84"/>
    </row>
    <row r="32" spans="1:49">
      <c r="A32" s="93"/>
      <c r="B32" s="454" t="s">
        <v>659</v>
      </c>
      <c r="C32" s="35"/>
      <c r="D32" s="64">
        <f>D27</f>
        <v>0.90200000000000002</v>
      </c>
      <c r="E32" s="35"/>
      <c r="F32" s="35"/>
      <c r="G32" s="84"/>
    </row>
    <row r="33" spans="1:7">
      <c r="A33" s="93"/>
      <c r="B33" s="35" t="s">
        <v>437</v>
      </c>
      <c r="C33" s="35"/>
      <c r="D33" s="389" t="str">
        <f>D28</f>
        <v>NG</v>
      </c>
      <c r="E33" s="455">
        <v>0.98</v>
      </c>
      <c r="F33" s="35"/>
      <c r="G33" s="84"/>
    </row>
    <row r="34" spans="1:7">
      <c r="A34" s="468"/>
      <c r="B34" s="35"/>
      <c r="C34" s="35"/>
      <c r="D34" s="389" t="s">
        <v>446</v>
      </c>
      <c r="E34" s="455">
        <f>1-E33</f>
        <v>2.0000000000000018E-2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660</v>
      </c>
      <c r="B36" s="476" t="s">
        <v>600</v>
      </c>
      <c r="C36" s="35"/>
      <c r="D36" s="35"/>
      <c r="E36" s="361"/>
      <c r="F36" s="35"/>
      <c r="G36" s="84"/>
    </row>
    <row r="37" spans="1:7">
      <c r="A37" s="468"/>
      <c r="B37" s="476"/>
      <c r="C37" s="35"/>
      <c r="D37" s="450">
        <f>'Key Input'!E16</f>
        <v>100</v>
      </c>
      <c r="E37" s="35" t="s">
        <v>448</v>
      </c>
      <c r="F37" s="35" t="s">
        <v>450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4" t="s">
        <v>469</v>
      </c>
      <c r="C39" s="476" t="s">
        <v>449</v>
      </c>
      <c r="D39" s="389">
        <v>150</v>
      </c>
      <c r="E39" s="454" t="s">
        <v>470</v>
      </c>
      <c r="F39" s="476" t="s">
        <v>502</v>
      </c>
      <c r="G39" s="84"/>
    </row>
    <row r="40" spans="1:7">
      <c r="A40" s="93"/>
      <c r="B40" s="35"/>
      <c r="C40" s="476" t="s">
        <v>450</v>
      </c>
      <c r="D40" s="389">
        <v>2500</v>
      </c>
      <c r="E40" s="454" t="s">
        <v>470</v>
      </c>
      <c r="F40" s="384" t="s">
        <v>503</v>
      </c>
      <c r="G40" s="84"/>
    </row>
    <row r="41" spans="1:7">
      <c r="A41" s="93"/>
      <c r="B41" s="35"/>
      <c r="C41" s="476" t="s">
        <v>454</v>
      </c>
      <c r="D41" s="389">
        <f>C12</f>
        <v>372</v>
      </c>
      <c r="E41" s="454" t="str">
        <f>D12</f>
        <v>kj/tkm</v>
      </c>
      <c r="F41" s="384"/>
      <c r="G41" s="84"/>
    </row>
    <row r="42" spans="1:7">
      <c r="A42" s="93"/>
      <c r="B42" s="35"/>
      <c r="C42" s="35"/>
      <c r="D42" s="455">
        <f>C10</f>
        <v>0.9</v>
      </c>
      <c r="E42" s="455" t="str">
        <f>D10</f>
        <v>NG</v>
      </c>
      <c r="F42" s="384"/>
      <c r="G42" s="84"/>
    </row>
    <row r="43" spans="1:7">
      <c r="A43" s="101"/>
      <c r="B43" s="102"/>
      <c r="C43" s="102"/>
      <c r="D43" s="469">
        <f>C11</f>
        <v>0.1</v>
      </c>
      <c r="E43" s="469" t="str">
        <f>D11</f>
        <v>electricity</v>
      </c>
      <c r="F43" s="470"/>
      <c r="G43" s="471"/>
    </row>
    <row r="44" spans="1:7" ht="15" thickBot="1">
      <c r="A44" s="39"/>
      <c r="B44" s="35"/>
      <c r="C44" s="35"/>
      <c r="D44" s="454"/>
      <c r="E44" s="384"/>
      <c r="F44" s="35"/>
      <c r="G44" s="40"/>
    </row>
    <row r="45" spans="1:7">
      <c r="A45" s="36" t="s">
        <v>447</v>
      </c>
      <c r="B45" s="37" t="s">
        <v>443</v>
      </c>
      <c r="C45" s="37"/>
      <c r="D45" s="447">
        <f>'Key Input'!E18</f>
        <v>0.54200000000000004</v>
      </c>
      <c r="E45" s="37"/>
      <c r="F45" s="37"/>
      <c r="G45" s="38"/>
    </row>
    <row r="46" spans="1:7">
      <c r="A46" s="39"/>
      <c r="B46" s="35" t="s">
        <v>437</v>
      </c>
      <c r="C46" s="35"/>
      <c r="D46" s="35" t="s">
        <v>433</v>
      </c>
      <c r="E46" s="64">
        <v>1</v>
      </c>
      <c r="F46" s="35"/>
      <c r="G46" s="40"/>
    </row>
    <row r="47" spans="1:7">
      <c r="A47" s="39"/>
      <c r="B47" s="35" t="s">
        <v>451</v>
      </c>
      <c r="C47" s="35"/>
      <c r="D47" s="35">
        <v>100</v>
      </c>
      <c r="E47" s="35" t="s">
        <v>448</v>
      </c>
      <c r="F47" s="35" t="s">
        <v>454</v>
      </c>
      <c r="G47" s="40"/>
    </row>
    <row r="48" spans="1:7" ht="15" thickBot="1">
      <c r="A48" s="41"/>
      <c r="B48" s="42" t="s">
        <v>452</v>
      </c>
      <c r="C48" s="42"/>
      <c r="D48" s="42" t="s">
        <v>453</v>
      </c>
      <c r="E48" s="376" t="s">
        <v>505</v>
      </c>
      <c r="F48" s="42"/>
      <c r="G48" s="43"/>
    </row>
  </sheetData>
  <phoneticPr fontId="4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opLeftCell="AG16" zoomScale="80" zoomScaleNormal="80" workbookViewId="0">
      <selection activeCell="AM48" sqref="AM48"/>
    </sheetView>
  </sheetViews>
  <sheetFormatPr defaultRowHeight="14.4"/>
  <cols>
    <col min="4" max="4" width="12.6640625" customWidth="1"/>
    <col min="10" max="10" width="12.88671875" bestFit="1" customWidth="1"/>
    <col min="11" max="11" width="11.6640625" bestFit="1" customWidth="1"/>
    <col min="16" max="16" width="9.44140625" bestFit="1" customWidth="1"/>
    <col min="17" max="18" width="12.77734375" bestFit="1" customWidth="1"/>
    <col min="19" max="19" width="9" bestFit="1" customWidth="1"/>
    <col min="20" max="20" width="9" customWidth="1"/>
    <col min="21" max="21" width="9.44140625" bestFit="1" customWidth="1"/>
    <col min="22" max="22" width="9.44140625" customWidth="1"/>
    <col min="28" max="29" width="12.77734375" bestFit="1" customWidth="1"/>
    <col min="30" max="30" width="12.77734375" customWidth="1"/>
    <col min="31" max="31" width="9.44140625" bestFit="1" customWidth="1"/>
    <col min="32" max="40" width="9.44140625" customWidth="1"/>
    <col min="43" max="43" width="9.44140625" bestFit="1" customWidth="1"/>
    <col min="44" max="44" width="9.44140625" customWidth="1"/>
    <col min="45" max="45" width="12.77734375" bestFit="1" customWidth="1"/>
    <col min="49" max="49" width="10.44140625" bestFit="1" customWidth="1"/>
  </cols>
  <sheetData>
    <row r="1" spans="1:49" ht="15" thickBot="1">
      <c r="A1" s="36" t="s">
        <v>456</v>
      </c>
      <c r="B1" s="37" t="s">
        <v>433</v>
      </c>
      <c r="C1" s="37">
        <f>47.7</f>
        <v>47.7</v>
      </c>
      <c r="D1" s="37" t="s">
        <v>457</v>
      </c>
      <c r="E1" s="416" t="s">
        <v>955</v>
      </c>
      <c r="F1" s="37"/>
      <c r="G1" s="38"/>
      <c r="J1" s="451" t="s">
        <v>477</v>
      </c>
      <c r="O1" s="451" t="s">
        <v>497</v>
      </c>
      <c r="W1" s="451" t="s">
        <v>598</v>
      </c>
      <c r="X1" t="str">
        <f>'fuel summary'!$C$34</f>
        <v>进口LNG</v>
      </c>
      <c r="AF1" s="451" t="s">
        <v>599</v>
      </c>
      <c r="AG1" t="str">
        <f>'fuel summary'!$C$47</f>
        <v>国产气田产LNG</v>
      </c>
      <c r="AO1" s="451" t="s">
        <v>611</v>
      </c>
      <c r="AP1" t="str">
        <f>'fuel summary'!$C$60</f>
        <v>管输气产LNG</v>
      </c>
    </row>
    <row r="2" spans="1:49">
      <c r="A2" s="39"/>
      <c r="B2" s="35" t="s">
        <v>447</v>
      </c>
      <c r="C2" s="35">
        <v>40.99</v>
      </c>
      <c r="D2" s="35" t="s">
        <v>457</v>
      </c>
      <c r="E2" s="35"/>
      <c r="F2" s="35"/>
      <c r="G2" s="40"/>
      <c r="H2" s="36"/>
      <c r="I2" s="37"/>
      <c r="J2" s="456" t="s">
        <v>459</v>
      </c>
      <c r="K2" s="414" t="s">
        <v>460</v>
      </c>
      <c r="L2" s="475" t="s">
        <v>509</v>
      </c>
      <c r="N2" s="36"/>
      <c r="O2" s="37"/>
      <c r="P2" s="456" t="s">
        <v>459</v>
      </c>
      <c r="Q2" s="456" t="s">
        <v>460</v>
      </c>
      <c r="R2" s="456" t="s">
        <v>461</v>
      </c>
      <c r="S2" s="414" t="s">
        <v>510</v>
      </c>
      <c r="T2" s="475" t="s">
        <v>509</v>
      </c>
      <c r="W2" s="36"/>
      <c r="X2" s="37"/>
      <c r="Y2" s="456" t="s">
        <v>459</v>
      </c>
      <c r="Z2" s="456" t="s">
        <v>498</v>
      </c>
      <c r="AA2" s="456"/>
      <c r="AB2" s="456" t="s">
        <v>499</v>
      </c>
      <c r="AC2" s="414" t="s">
        <v>500</v>
      </c>
      <c r="AD2" s="475" t="s">
        <v>509</v>
      </c>
      <c r="AF2" s="36"/>
      <c r="AG2" s="37"/>
      <c r="AH2" s="456" t="s">
        <v>459</v>
      </c>
      <c r="AI2" s="456" t="s">
        <v>498</v>
      </c>
      <c r="AJ2" s="456"/>
      <c r="AK2" s="414" t="s">
        <v>500</v>
      </c>
      <c r="AL2" s="475" t="s">
        <v>509</v>
      </c>
      <c r="AO2" s="36"/>
      <c r="AP2" s="37"/>
      <c r="AQ2" s="456" t="s">
        <v>459</v>
      </c>
      <c r="AR2" s="456" t="s">
        <v>610</v>
      </c>
      <c r="AS2" s="456" t="s">
        <v>498</v>
      </c>
      <c r="AT2" s="456"/>
      <c r="AU2" s="414" t="s">
        <v>500</v>
      </c>
      <c r="AV2" s="475" t="s">
        <v>509</v>
      </c>
    </row>
    <row r="3" spans="1:49" ht="15" thickBot="1">
      <c r="A3" s="39"/>
      <c r="B3" s="35"/>
      <c r="C3" s="35"/>
      <c r="D3" s="35"/>
      <c r="E3" s="35"/>
      <c r="F3" s="35"/>
      <c r="G3" s="40"/>
      <c r="H3" s="39"/>
      <c r="I3" s="476" t="s">
        <v>481</v>
      </c>
      <c r="J3" s="35">
        <v>1</v>
      </c>
      <c r="K3" s="40">
        <v>1</v>
      </c>
      <c r="N3" s="39"/>
      <c r="O3" s="35"/>
      <c r="P3" s="35">
        <v>1</v>
      </c>
      <c r="Q3" s="35">
        <v>1</v>
      </c>
      <c r="R3" s="378">
        <f>1-D15</f>
        <v>0.999</v>
      </c>
      <c r="S3" s="40">
        <v>1</v>
      </c>
      <c r="W3" s="39"/>
      <c r="X3" s="35"/>
      <c r="Y3" s="35">
        <v>1</v>
      </c>
      <c r="Z3" s="35">
        <v>1</v>
      </c>
      <c r="AA3" s="35"/>
      <c r="AB3" s="378">
        <v>1</v>
      </c>
      <c r="AC3" s="40">
        <v>1</v>
      </c>
      <c r="AF3" s="39"/>
      <c r="AG3" s="35"/>
      <c r="AH3" s="35">
        <v>1</v>
      </c>
      <c r="AI3" s="35">
        <v>1</v>
      </c>
      <c r="AJ3" s="35"/>
      <c r="AK3" s="40">
        <v>1</v>
      </c>
      <c r="AO3" s="39"/>
      <c r="AP3" s="35"/>
      <c r="AQ3" s="35">
        <v>1</v>
      </c>
      <c r="AR3" s="35">
        <v>1</v>
      </c>
      <c r="AS3" s="35">
        <v>1</v>
      </c>
      <c r="AT3" s="35"/>
      <c r="AU3" s="40">
        <v>1</v>
      </c>
    </row>
    <row r="4" spans="1:49" ht="15" thickBot="1">
      <c r="A4" s="36" t="s">
        <v>433</v>
      </c>
      <c r="B4" s="37" t="s">
        <v>435</v>
      </c>
      <c r="C4" s="37"/>
      <c r="D4" s="412">
        <f>'Key Input'!E4</f>
        <v>0.96</v>
      </c>
      <c r="E4" s="37"/>
      <c r="F4" s="37"/>
      <c r="G4" s="38"/>
      <c r="H4" s="39"/>
      <c r="I4" s="476" t="s">
        <v>463</v>
      </c>
      <c r="J4" s="476" t="s">
        <v>462</v>
      </c>
      <c r="K4" s="371" t="s">
        <v>464</v>
      </c>
      <c r="N4" s="39"/>
      <c r="O4" s="476" t="s">
        <v>463</v>
      </c>
      <c r="P4" s="476" t="s">
        <v>462</v>
      </c>
      <c r="Q4" s="476" t="s">
        <v>464</v>
      </c>
      <c r="R4" s="454" t="s">
        <v>465</v>
      </c>
      <c r="S4" s="379" t="s">
        <v>478</v>
      </c>
      <c r="W4" s="39"/>
      <c r="X4" s="476" t="s">
        <v>463</v>
      </c>
      <c r="Y4" s="476" t="s">
        <v>462</v>
      </c>
      <c r="Z4" s="476" t="s">
        <v>465</v>
      </c>
      <c r="AA4" s="476"/>
      <c r="AB4" s="454" t="s">
        <v>465</v>
      </c>
      <c r="AC4" s="379" t="s">
        <v>478</v>
      </c>
      <c r="AF4" s="39"/>
      <c r="AG4" s="476" t="s">
        <v>463</v>
      </c>
      <c r="AH4" s="476" t="s">
        <v>462</v>
      </c>
      <c r="AI4" s="476" t="s">
        <v>465</v>
      </c>
      <c r="AJ4" s="476"/>
      <c r="AK4" s="379" t="s">
        <v>478</v>
      </c>
      <c r="AO4" s="39"/>
      <c r="AP4" s="476" t="s">
        <v>463</v>
      </c>
      <c r="AQ4" s="476" t="s">
        <v>462</v>
      </c>
      <c r="AR4" s="476" t="s">
        <v>613</v>
      </c>
      <c r="AS4" s="476" t="s">
        <v>465</v>
      </c>
      <c r="AT4" s="476"/>
      <c r="AU4" s="379" t="s">
        <v>478</v>
      </c>
    </row>
    <row r="5" spans="1:49" ht="15" thickBot="1">
      <c r="A5" s="39"/>
      <c r="B5" s="35" t="str">
        <f>'Key Input'!B6</f>
        <v>NG开采CH4逸散比例</v>
      </c>
      <c r="C5" s="35"/>
      <c r="D5" s="447">
        <f>'Key Input'!E6</f>
        <v>3.4344000000000002E-3</v>
      </c>
      <c r="E5" s="35" t="s">
        <v>649</v>
      </c>
      <c r="F5" s="447">
        <f>0.072*47.7/1000</f>
        <v>3.4344000000000002E-3</v>
      </c>
      <c r="G5" s="40"/>
      <c r="H5" s="39"/>
      <c r="I5" s="476"/>
      <c r="J5" s="476"/>
      <c r="K5" s="371"/>
      <c r="N5" s="39"/>
      <c r="O5" s="476"/>
      <c r="P5" s="476"/>
      <c r="Q5" s="476"/>
      <c r="R5" s="454"/>
      <c r="S5" s="379"/>
      <c r="W5" s="39"/>
      <c r="X5" s="476"/>
      <c r="Y5" s="476"/>
      <c r="Z5" s="476"/>
      <c r="AA5" s="476"/>
      <c r="AB5" s="454"/>
      <c r="AC5" s="379"/>
      <c r="AF5" s="39"/>
      <c r="AG5" s="476"/>
      <c r="AH5" s="476"/>
      <c r="AI5" s="476"/>
      <c r="AJ5" s="476"/>
      <c r="AK5" s="379"/>
      <c r="AO5" s="39"/>
      <c r="AP5" s="476"/>
      <c r="AQ5" s="476"/>
      <c r="AR5" s="476"/>
      <c r="AS5" s="476"/>
      <c r="AT5" s="476"/>
      <c r="AU5" s="379"/>
    </row>
    <row r="6" spans="1:49">
      <c r="A6" s="39"/>
      <c r="B6" s="35" t="s">
        <v>434</v>
      </c>
      <c r="C6" s="35"/>
      <c r="D6" s="412">
        <f>'Key Input'!E5</f>
        <v>0.94</v>
      </c>
      <c r="E6" s="35"/>
      <c r="F6" s="35"/>
      <c r="G6" s="40"/>
      <c r="H6" s="39"/>
      <c r="I6" s="476" t="s">
        <v>466</v>
      </c>
      <c r="J6" s="476" t="s">
        <v>471</v>
      </c>
      <c r="K6" s="371" t="s">
        <v>473</v>
      </c>
      <c r="N6" s="39"/>
      <c r="O6" s="476" t="s">
        <v>466</v>
      </c>
      <c r="P6" s="476" t="s">
        <v>471</v>
      </c>
      <c r="Q6" s="476" t="s">
        <v>473</v>
      </c>
      <c r="R6" s="454" t="s">
        <v>471</v>
      </c>
      <c r="S6" s="379" t="s">
        <v>471</v>
      </c>
      <c r="W6" s="39"/>
      <c r="X6" s="476" t="s">
        <v>466</v>
      </c>
      <c r="Y6" s="476" t="s">
        <v>471</v>
      </c>
      <c r="Z6" s="476" t="s">
        <v>473</v>
      </c>
      <c r="AA6" s="476"/>
      <c r="AB6" s="454" t="s">
        <v>471</v>
      </c>
      <c r="AC6" s="379" t="s">
        <v>471</v>
      </c>
      <c r="AF6" s="39"/>
      <c r="AG6" s="476" t="s">
        <v>466</v>
      </c>
      <c r="AH6" s="476" t="s">
        <v>471</v>
      </c>
      <c r="AI6" s="476" t="s">
        <v>473</v>
      </c>
      <c r="AJ6" s="476"/>
      <c r="AK6" s="379" t="s">
        <v>471</v>
      </c>
      <c r="AO6" s="39"/>
      <c r="AP6" s="476" t="s">
        <v>466</v>
      </c>
      <c r="AQ6" s="476" t="s">
        <v>471</v>
      </c>
      <c r="AR6" s="476"/>
      <c r="AS6" s="476" t="s">
        <v>473</v>
      </c>
      <c r="AT6" s="476"/>
      <c r="AU6" s="379" t="s">
        <v>471</v>
      </c>
    </row>
    <row r="7" spans="1:49">
      <c r="A7" s="39"/>
      <c r="B7" s="35" t="s">
        <v>436</v>
      </c>
      <c r="C7" s="35"/>
      <c r="D7" s="362">
        <f>D4*D6</f>
        <v>0.90239999999999987</v>
      </c>
      <c r="E7" s="35"/>
      <c r="F7" s="35"/>
      <c r="G7" s="40"/>
      <c r="H7" s="39"/>
      <c r="I7" s="476" t="s">
        <v>467</v>
      </c>
      <c r="J7" s="372">
        <f>(1/D7-1)*E8*1000</f>
        <v>108.15602836879457</v>
      </c>
      <c r="K7" s="373">
        <f>D9*C12/47.7/1000*C10</f>
        <v>10.528301886792452</v>
      </c>
      <c r="N7" s="39"/>
      <c r="O7" s="476" t="s">
        <v>467</v>
      </c>
      <c r="P7" s="380">
        <f>J7</f>
        <v>108.15602836879457</v>
      </c>
      <c r="Q7" s="381">
        <f>D17*C12/47.7/1000*C10</f>
        <v>2.1056603773584905</v>
      </c>
      <c r="R7" s="380">
        <f>D15/(1/D15-1)*1000</f>
        <v>1.001001001001001E-3</v>
      </c>
      <c r="S7" s="40">
        <v>0</v>
      </c>
      <c r="W7" s="39"/>
      <c r="X7" s="476" t="s">
        <v>467</v>
      </c>
      <c r="Y7" s="380">
        <f>P7</f>
        <v>108.15602836879457</v>
      </c>
      <c r="Z7" s="381">
        <f>(1/D21-1)*E22*1000</f>
        <v>106.47450110864743</v>
      </c>
      <c r="AA7" s="381" t="s">
        <v>502</v>
      </c>
      <c r="AB7" s="380">
        <f>D39*D24/C1/1000</f>
        <v>10.534591194968552</v>
      </c>
      <c r="AC7" s="40"/>
      <c r="AF7" s="39"/>
      <c r="AG7" s="476" t="s">
        <v>467</v>
      </c>
      <c r="AH7" s="380">
        <f>Y7</f>
        <v>108.15602836879457</v>
      </c>
      <c r="AI7" s="380">
        <f>(1/D27-1)*E28*1000</f>
        <v>0</v>
      </c>
      <c r="AJ7" s="381" t="s">
        <v>502</v>
      </c>
      <c r="AK7" s="40"/>
      <c r="AO7" s="39"/>
      <c r="AP7" s="476" t="s">
        <v>467</v>
      </c>
      <c r="AQ7" s="380">
        <f>AH7</f>
        <v>108.15602836879457</v>
      </c>
      <c r="AR7" s="380">
        <f>D31/D9*K7</f>
        <v>5.2641509433962259</v>
      </c>
      <c r="AS7" s="380">
        <f>(1/D32-1)*E33*1000</f>
        <v>0</v>
      </c>
      <c r="AT7" s="381" t="s">
        <v>502</v>
      </c>
      <c r="AU7" s="40"/>
    </row>
    <row r="8" spans="1:49">
      <c r="A8" s="39"/>
      <c r="B8" s="35" t="s">
        <v>437</v>
      </c>
      <c r="C8" s="35"/>
      <c r="D8" s="35" t="s">
        <v>433</v>
      </c>
      <c r="E8" s="361">
        <v>1</v>
      </c>
      <c r="F8" s="476" t="s">
        <v>468</v>
      </c>
      <c r="G8" s="40"/>
      <c r="H8" s="39"/>
      <c r="I8" s="476" t="s">
        <v>472</v>
      </c>
      <c r="J8" s="372"/>
      <c r="K8" s="373">
        <f>D9*C12/47.7/1000*C11</f>
        <v>1.1698113207547169</v>
      </c>
      <c r="N8" s="39"/>
      <c r="O8" s="476" t="s">
        <v>472</v>
      </c>
      <c r="P8" s="380"/>
      <c r="Q8" s="381">
        <f>D17*C12/47.7/1000*C11</f>
        <v>0.2339622641509434</v>
      </c>
      <c r="R8" s="380">
        <f>D16*1000</f>
        <v>30.991744066047321</v>
      </c>
      <c r="S8" s="40">
        <v>0</v>
      </c>
      <c r="W8" s="39"/>
      <c r="X8" s="476" t="s">
        <v>472</v>
      </c>
      <c r="Y8" s="380"/>
      <c r="Z8" s="381">
        <f>(1/D21-1)*E23*1000</f>
        <v>2.1729490022172966</v>
      </c>
      <c r="AA8" s="381" t="s">
        <v>503</v>
      </c>
      <c r="AB8" s="380"/>
      <c r="AC8" s="380">
        <f>D40*D37/C1/1000</f>
        <v>2.6205450733752618</v>
      </c>
      <c r="AF8" s="39"/>
      <c r="AG8" s="476" t="s">
        <v>472</v>
      </c>
      <c r="AH8" s="380"/>
      <c r="AI8" s="380">
        <f>(1/D27-1)*E29*1000</f>
        <v>50.576004495644696</v>
      </c>
      <c r="AJ8" s="381" t="s">
        <v>503</v>
      </c>
      <c r="AK8" s="380">
        <f>AC8</f>
        <v>2.6205450733752618</v>
      </c>
      <c r="AO8" s="39"/>
      <c r="AP8" s="476" t="s">
        <v>472</v>
      </c>
      <c r="AQ8" s="380"/>
      <c r="AR8" s="380">
        <f>D31/D9*K8</f>
        <v>0.58490566037735847</v>
      </c>
      <c r="AS8" s="380">
        <f>(1/D32-1)*E34*1000</f>
        <v>50.530517911545388</v>
      </c>
      <c r="AT8" s="381" t="s">
        <v>503</v>
      </c>
      <c r="AU8" s="380">
        <f>AK8</f>
        <v>2.6205450733752618</v>
      </c>
    </row>
    <row r="9" spans="1:49">
      <c r="A9" s="39"/>
      <c r="B9" s="476" t="s">
        <v>476</v>
      </c>
      <c r="C9" s="35"/>
      <c r="D9" s="450">
        <v>1500</v>
      </c>
      <c r="E9" s="35" t="s">
        <v>448</v>
      </c>
      <c r="F9" s="35" t="s">
        <v>454</v>
      </c>
      <c r="G9" s="40"/>
      <c r="H9" s="39"/>
      <c r="I9" s="476" t="s">
        <v>482</v>
      </c>
      <c r="J9" s="372"/>
      <c r="K9" s="373"/>
      <c r="N9" s="39"/>
      <c r="O9" s="476" t="s">
        <v>482</v>
      </c>
      <c r="P9" s="35"/>
      <c r="Q9" s="35"/>
      <c r="R9" s="35"/>
      <c r="S9" s="40"/>
      <c r="W9" s="39"/>
      <c r="X9" s="476" t="s">
        <v>482</v>
      </c>
      <c r="Y9" s="35"/>
      <c r="Z9" s="35"/>
      <c r="AA9" s="35"/>
      <c r="AB9" s="35"/>
      <c r="AC9" s="40"/>
      <c r="AF9" s="39"/>
      <c r="AG9" s="476" t="s">
        <v>482</v>
      </c>
      <c r="AH9" s="35"/>
      <c r="AI9" s="35"/>
      <c r="AJ9" s="35"/>
      <c r="AK9" s="35"/>
      <c r="AO9" s="39"/>
      <c r="AP9" s="476" t="s">
        <v>482</v>
      </c>
      <c r="AQ9" s="35"/>
      <c r="AR9" s="35"/>
      <c r="AS9" s="35"/>
      <c r="AT9" s="35"/>
      <c r="AU9" s="380"/>
    </row>
    <row r="10" spans="1:49">
      <c r="A10" s="39"/>
      <c r="B10" s="35"/>
      <c r="C10" s="361">
        <v>0.9</v>
      </c>
      <c r="D10" s="35" t="s">
        <v>433</v>
      </c>
      <c r="E10" s="35"/>
      <c r="F10" s="35"/>
      <c r="G10" s="40"/>
      <c r="H10" s="39"/>
      <c r="I10" s="35" t="str">
        <f>I7</f>
        <v>NG</v>
      </c>
      <c r="J10" s="372">
        <f>J7/K3</f>
        <v>108.15602836879457</v>
      </c>
      <c r="K10" s="373">
        <f>K7</f>
        <v>10.528301886792452</v>
      </c>
      <c r="N10" s="382"/>
      <c r="O10" s="476" t="s">
        <v>433</v>
      </c>
      <c r="P10" s="380">
        <f>P7/Q3/R3/S3</f>
        <v>108.26429266145603</v>
      </c>
      <c r="Q10" s="380">
        <f>Q7/R3/S3</f>
        <v>2.1077681455039947</v>
      </c>
      <c r="R10" s="380">
        <f>R7/S3</f>
        <v>1.001001001001001E-3</v>
      </c>
      <c r="S10" s="383">
        <f>S7</f>
        <v>0</v>
      </c>
      <c r="W10" s="382"/>
      <c r="X10" s="476" t="s">
        <v>433</v>
      </c>
      <c r="Y10" s="380">
        <f>Y7/Z3/AB3/AC3</f>
        <v>108.15602836879457</v>
      </c>
      <c r="Z10" s="380">
        <f>Z7/AB3/AC3</f>
        <v>106.47450110864743</v>
      </c>
      <c r="AA10" s="381" t="s">
        <v>502</v>
      </c>
      <c r="AB10" s="380">
        <f>AB7/AC3</f>
        <v>10.534591194968552</v>
      </c>
      <c r="AC10" s="383">
        <f>AC7</f>
        <v>0</v>
      </c>
      <c r="AF10" s="382"/>
      <c r="AG10" s="476" t="s">
        <v>433</v>
      </c>
      <c r="AH10" s="380">
        <f>Y10</f>
        <v>108.15602836879457</v>
      </c>
      <c r="AI10" s="380">
        <f>AI7/AK3</f>
        <v>0</v>
      </c>
      <c r="AJ10" s="381" t="s">
        <v>502</v>
      </c>
      <c r="AK10" s="380">
        <f>AC10</f>
        <v>0</v>
      </c>
      <c r="AO10" s="382"/>
      <c r="AP10" s="476" t="s">
        <v>433</v>
      </c>
      <c r="AQ10" s="380">
        <f>AH10</f>
        <v>108.15602836879457</v>
      </c>
      <c r="AR10" s="380">
        <f>D31/D9*K10</f>
        <v>5.2641509433962259</v>
      </c>
      <c r="AS10" s="380">
        <f>AS7/AU3</f>
        <v>0</v>
      </c>
      <c r="AT10" s="381" t="s">
        <v>502</v>
      </c>
      <c r="AU10" s="380">
        <f t="shared" ref="AU10:AU16" si="0">AK10</f>
        <v>0</v>
      </c>
    </row>
    <row r="11" spans="1:49">
      <c r="A11" s="39"/>
      <c r="B11" s="35"/>
      <c r="C11" s="361">
        <v>0.1</v>
      </c>
      <c r="D11" s="35" t="s">
        <v>445</v>
      </c>
      <c r="E11" s="35"/>
      <c r="F11" s="35"/>
      <c r="G11" s="40"/>
      <c r="H11" s="39"/>
      <c r="I11" s="35" t="str">
        <f>I8</f>
        <v>电</v>
      </c>
      <c r="J11" s="372">
        <f>J8/K3</f>
        <v>0</v>
      </c>
      <c r="K11" s="373">
        <f>K8</f>
        <v>1.1698113207547169</v>
      </c>
      <c r="N11" s="382"/>
      <c r="O11" s="476" t="s">
        <v>472</v>
      </c>
      <c r="P11" s="380">
        <f>P8/Q3/R3/S3</f>
        <v>0</v>
      </c>
      <c r="Q11" s="380">
        <f>Q8/R3/S3</f>
        <v>0.23419646061155497</v>
      </c>
      <c r="R11" s="380">
        <f>R8/S3</f>
        <v>30.991744066047321</v>
      </c>
      <c r="S11" s="383">
        <f>S8</f>
        <v>0</v>
      </c>
      <c r="W11" s="382"/>
      <c r="X11" s="476" t="s">
        <v>472</v>
      </c>
      <c r="Y11" s="380">
        <f>Y8/Z3/AB3/AC3</f>
        <v>0</v>
      </c>
      <c r="Z11" s="380">
        <f>Z8/AB3/AC3</f>
        <v>2.1729490022172966</v>
      </c>
      <c r="AA11" s="381" t="s">
        <v>503</v>
      </c>
      <c r="AB11" s="380">
        <f>AB8/AC3</f>
        <v>0</v>
      </c>
      <c r="AC11" s="383">
        <f>AC8</f>
        <v>2.6205450733752618</v>
      </c>
      <c r="AF11" s="382"/>
      <c r="AG11" s="476" t="s">
        <v>472</v>
      </c>
      <c r="AH11" s="380">
        <f>Y11</f>
        <v>0</v>
      </c>
      <c r="AI11" s="380">
        <f>AI8/AK3</f>
        <v>50.576004495644696</v>
      </c>
      <c r="AJ11" s="381" t="s">
        <v>503</v>
      </c>
      <c r="AK11" s="380">
        <f>AC11</f>
        <v>2.6205450733752618</v>
      </c>
      <c r="AO11" s="382"/>
      <c r="AP11" s="476" t="s">
        <v>472</v>
      </c>
      <c r="AQ11" s="380">
        <f>AH11</f>
        <v>0</v>
      </c>
      <c r="AR11" s="380">
        <f>D31/D9*K11</f>
        <v>0.58490566037735847</v>
      </c>
      <c r="AS11" s="380">
        <f>AS8/AU3</f>
        <v>50.530517911545388</v>
      </c>
      <c r="AT11" s="381" t="s">
        <v>503</v>
      </c>
      <c r="AU11" s="380">
        <f t="shared" si="0"/>
        <v>2.6205450733752618</v>
      </c>
    </row>
    <row r="12" spans="1:49" ht="15" thickBot="1">
      <c r="A12" s="41"/>
      <c r="B12" s="449" t="s">
        <v>469</v>
      </c>
      <c r="C12" s="448">
        <v>372</v>
      </c>
      <c r="D12" s="449" t="s">
        <v>470</v>
      </c>
      <c r="E12" s="42"/>
      <c r="F12" s="42"/>
      <c r="G12" s="43"/>
      <c r="H12" s="39"/>
      <c r="I12" s="35"/>
      <c r="J12" s="372"/>
      <c r="K12" s="373"/>
      <c r="N12" s="382"/>
      <c r="O12" s="35"/>
      <c r="P12" s="35"/>
      <c r="Q12" s="35"/>
      <c r="R12" s="35"/>
      <c r="S12" s="40"/>
      <c r="W12" s="382"/>
      <c r="X12" s="35"/>
      <c r="Y12" s="35"/>
      <c r="Z12" s="35"/>
      <c r="AA12" s="35"/>
      <c r="AB12" s="35"/>
      <c r="AC12" s="40"/>
      <c r="AF12" s="382"/>
      <c r="AG12" s="35"/>
      <c r="AH12" s="35"/>
      <c r="AI12" s="35"/>
      <c r="AJ12" s="35"/>
      <c r="AK12" s="35"/>
      <c r="AO12" s="382"/>
      <c r="AP12" s="35"/>
      <c r="AQ12" s="35"/>
      <c r="AR12" s="35"/>
      <c r="AS12" s="35"/>
      <c r="AT12" s="35"/>
      <c r="AU12" s="380"/>
    </row>
    <row r="13" spans="1:49" ht="15" thickBot="1">
      <c r="A13" s="39"/>
      <c r="B13" s="35"/>
      <c r="C13" s="35"/>
      <c r="D13" s="35"/>
      <c r="E13" s="35"/>
      <c r="F13" s="35"/>
      <c r="G13" s="40"/>
      <c r="H13" s="410" t="s">
        <v>486</v>
      </c>
      <c r="I13" s="476" t="s">
        <v>491</v>
      </c>
      <c r="J13" s="372">
        <f>J10*'LC factor'!H15+'NG-based (+2)'!J11*'LC factor'!L15</f>
        <v>4.9165821196554074</v>
      </c>
      <c r="K13" s="373">
        <f>K10*'LC factor'!H15+K11*'LC factor'!L15</f>
        <v>3.2947116843928073</v>
      </c>
      <c r="L13">
        <v>0</v>
      </c>
      <c r="M13" s="366">
        <f>(J13+K13+L13)/1000</f>
        <v>8.2112938040482149E-3</v>
      </c>
      <c r="N13" s="410" t="s">
        <v>486</v>
      </c>
      <c r="O13" s="476" t="s">
        <v>491</v>
      </c>
      <c r="P13" s="35">
        <f>P10*'LC factor'!H15+P11*'LC factor'!L15</f>
        <v>4.921503623278686</v>
      </c>
      <c r="Q13" s="35">
        <f>Q10*'LC factor'!B8+Q11*'LC factor'!B12</f>
        <v>0.65960193881737883</v>
      </c>
      <c r="R13" s="35">
        <f>R10*'LC factor'!B8+R11*'LC factor'!B12</f>
        <v>74.607182964934765</v>
      </c>
      <c r="S13" s="40">
        <f>S10*'LC factor'!B8+S11*'LC factor'!B12</f>
        <v>0</v>
      </c>
      <c r="T13">
        <v>0</v>
      </c>
      <c r="U13" s="366">
        <f>P13+Q13+R13+S13+T13</f>
        <v>80.188288527030835</v>
      </c>
      <c r="V13" s="366"/>
      <c r="W13" s="410" t="s">
        <v>486</v>
      </c>
      <c r="X13" s="476" t="s">
        <v>491</v>
      </c>
      <c r="Y13" s="35">
        <f>Y10*'LC factor'!B8+Y11*'LC factor'!B12</f>
        <v>4.9165821196554074</v>
      </c>
      <c r="Z13" s="35">
        <f>Z10*'LC factor'!B8+Z11*'LC factor'!B12</f>
        <v>10.07113291087402</v>
      </c>
      <c r="AA13" s="35"/>
      <c r="AB13" s="35">
        <f>AB10*'LC factor'!B11+'LC factor'!B9*'NG-based (+2)'!AB11</f>
        <v>0.60334520475255704</v>
      </c>
      <c r="AC13" s="40">
        <f>AC10*'LC factor'!B11+'LC factor'!B9*'NG-based (+2)'!AC11</f>
        <v>0.18942893946089503</v>
      </c>
      <c r="AD13">
        <v>0</v>
      </c>
      <c r="AE13" s="366">
        <f>Y13+Z13+AB13+AC13+AD13</f>
        <v>15.780489174742879</v>
      </c>
      <c r="AF13" s="410" t="s">
        <v>486</v>
      </c>
      <c r="AG13" s="476" t="s">
        <v>491</v>
      </c>
      <c r="AH13" s="380">
        <f>Y13</f>
        <v>4.9165821196554074</v>
      </c>
      <c r="AI13" s="35">
        <f>AI10*'LC factor'!B8+AI11*'LC factor'!B12</f>
        <v>121.75277750110493</v>
      </c>
      <c r="AJ13" s="35"/>
      <c r="AK13" s="380">
        <f>AC13</f>
        <v>0.18942893946089503</v>
      </c>
      <c r="AL13">
        <v>0</v>
      </c>
      <c r="AM13" s="366">
        <f>AH13+AI13+AK13+AL13</f>
        <v>126.85878856022123</v>
      </c>
      <c r="AN13" s="366"/>
      <c r="AO13" s="410" t="s">
        <v>486</v>
      </c>
      <c r="AP13" s="476" t="s">
        <v>491</v>
      </c>
      <c r="AQ13" s="380">
        <f>AH13</f>
        <v>4.9165821196554074</v>
      </c>
      <c r="AR13" s="380">
        <f>D31/D9*K13</f>
        <v>1.6473558421964036</v>
      </c>
      <c r="AS13" s="35">
        <f>AS10*'LC factor'!B8+AS11*'LC factor'!B12</f>
        <v>121.64327660224279</v>
      </c>
      <c r="AT13" s="35"/>
      <c r="AU13" s="380">
        <f t="shared" si="0"/>
        <v>0.18942893946089503</v>
      </c>
      <c r="AV13">
        <v>0</v>
      </c>
      <c r="AW13" s="366">
        <f>AQ13+AR13+AS13+AU13+AV13</f>
        <v>128.39664350355551</v>
      </c>
    </row>
    <row r="14" spans="1:49">
      <c r="A14" s="36" t="s">
        <v>439</v>
      </c>
      <c r="B14" s="37" t="s">
        <v>440</v>
      </c>
      <c r="C14" s="37"/>
      <c r="D14" s="447">
        <f>'Key Input'!E9</f>
        <v>0.96900000000000008</v>
      </c>
      <c r="E14" s="37"/>
      <c r="F14" s="37"/>
      <c r="G14" s="38"/>
      <c r="H14" s="410" t="s">
        <v>487</v>
      </c>
      <c r="I14" s="476" t="s">
        <v>491</v>
      </c>
      <c r="J14" s="372">
        <f>J10*'LC factor'!H16+'NG-based (+2)'!J11*'LC factor'!L16</f>
        <v>114.43173126983139</v>
      </c>
      <c r="K14" s="373">
        <f>K10*'LC factor'!H16+K11*'LC factor'!L16</f>
        <v>11.358165075942514</v>
      </c>
      <c r="L14">
        <v>1000</v>
      </c>
      <c r="M14" s="366">
        <f>(J14+K14+L14)/1000</f>
        <v>1.125789896345774</v>
      </c>
      <c r="N14" s="410" t="s">
        <v>487</v>
      </c>
      <c r="O14" s="476" t="s">
        <v>491</v>
      </c>
      <c r="P14" s="35">
        <f>P10*'LC factor'!C8+P11*'LC factor'!C12</f>
        <v>114.54627754737876</v>
      </c>
      <c r="Q14" s="35">
        <f>Q10*'LC factor'!C8+Q11*'LC factor'!C12</f>
        <v>2.2739069221106143</v>
      </c>
      <c r="R14" s="35">
        <f>R10*'LC factor'!C8+R11*'LC factor'!C12</f>
        <v>5.8020439079843156</v>
      </c>
      <c r="S14" s="40">
        <f>S10*'LC factor'!C8+S11*'LC factor'!C12</f>
        <v>0</v>
      </c>
      <c r="T14">
        <v>1000</v>
      </c>
      <c r="U14" s="366">
        <f>P14+Q14+R14+S14+T14</f>
        <v>1122.6222283774737</v>
      </c>
      <c r="V14" s="366"/>
      <c r="W14" s="410" t="s">
        <v>487</v>
      </c>
      <c r="X14" s="476" t="s">
        <v>491</v>
      </c>
      <c r="Y14" s="35">
        <f>Y10*'LC factor'!C8+Y11*'LC factor'!C12</f>
        <v>114.43173126983139</v>
      </c>
      <c r="Z14" s="35">
        <f>Z10*'LC factor'!C8+Z11*'LC factor'!C12</f>
        <v>113.05936327827526</v>
      </c>
      <c r="AA14" s="35"/>
      <c r="AB14" s="35">
        <f>AB10*'LC factor'!C11+'LC factor'!C9*'NG-based (+2)'!AB11</f>
        <v>0.47033465016206216</v>
      </c>
      <c r="AC14" s="40">
        <f>AC10*'LC factor'!C11+'LC factor'!C9*'NG-based (+2)'!AC11</f>
        <v>0.12992396505119111</v>
      </c>
      <c r="AD14">
        <v>1000</v>
      </c>
      <c r="AE14" s="366">
        <f>Y14+Z14+AB14+AC14+AD14</f>
        <v>1228.09135316332</v>
      </c>
      <c r="AF14" s="410" t="s">
        <v>487</v>
      </c>
      <c r="AG14" s="476" t="s">
        <v>491</v>
      </c>
      <c r="AH14" s="380">
        <f>Y14</f>
        <v>114.43173126983139</v>
      </c>
      <c r="AI14" s="35">
        <f>AI10*'LC factor'!C8+AI11*'LC factor'!C12</f>
        <v>9.4667352031301846</v>
      </c>
      <c r="AJ14" s="35"/>
      <c r="AK14" s="380">
        <f>AC14</f>
        <v>0.12992396505119111</v>
      </c>
      <c r="AL14">
        <v>1000</v>
      </c>
      <c r="AM14" s="366">
        <f>AH14+AI14+AK14+AL14</f>
        <v>1124.0283904380128</v>
      </c>
      <c r="AN14" s="366"/>
      <c r="AO14" s="410" t="s">
        <v>487</v>
      </c>
      <c r="AP14" s="476" t="s">
        <v>491</v>
      </c>
      <c r="AQ14" s="380">
        <f>AH14</f>
        <v>114.43173126983139</v>
      </c>
      <c r="AR14" s="380">
        <f>D31/D9*K14</f>
        <v>5.6790825379712571</v>
      </c>
      <c r="AS14" s="35">
        <f>AS10*'LC factor'!C8+AS11*'LC factor'!C12</f>
        <v>9.4582210974538423</v>
      </c>
      <c r="AT14" s="35"/>
      <c r="AU14" s="380">
        <f t="shared" si="0"/>
        <v>0.12992396505119111</v>
      </c>
      <c r="AV14">
        <v>1000</v>
      </c>
      <c r="AW14" s="366">
        <f>AQ14+AR14+AS14+AU14+AV14</f>
        <v>1129.6989588703077</v>
      </c>
    </row>
    <row r="15" spans="1:49">
      <c r="A15" s="39"/>
      <c r="B15" s="35" t="s">
        <v>441</v>
      </c>
      <c r="C15" s="35"/>
      <c r="D15" s="64">
        <v>1E-3</v>
      </c>
      <c r="E15" s="35"/>
      <c r="F15" s="35"/>
      <c r="G15" s="40"/>
      <c r="H15" s="410" t="s">
        <v>488</v>
      </c>
      <c r="I15" s="476" t="s">
        <v>491</v>
      </c>
      <c r="J15" s="372">
        <f>J10*'LC factor'!H17+'NG-based (+2)'!J11*'LC factor'!L17</f>
        <v>5.2581924503620225</v>
      </c>
      <c r="K15" s="373">
        <f>K10*'LC factor'!H17+K11*'LC factor'!L17</f>
        <v>0.59146237839919946</v>
      </c>
      <c r="L15">
        <v>0</v>
      </c>
      <c r="M15" s="366">
        <f>(J15+K15+L15)/1000</f>
        <v>5.8496548287612221E-3</v>
      </c>
      <c r="N15" s="410" t="s">
        <v>488</v>
      </c>
      <c r="O15" s="476" t="s">
        <v>491</v>
      </c>
      <c r="P15" s="35">
        <f>P10*'LC factor'!D8+P11*'LC factor'!D12</f>
        <v>5.2634559062682911</v>
      </c>
      <c r="Q15" s="35">
        <f>Q10*'LC factor'!D8+Q11*'LC factor'!D12</f>
        <v>0.11841088656640632</v>
      </c>
      <c r="R15" s="35">
        <f>R10*'LC factor'!D8+R11*'LC factor'!D12</f>
        <v>2.1091721157306931</v>
      </c>
      <c r="S15" s="40">
        <f>S10*'LC factor'!D8+S11*'LC factor'!D12</f>
        <v>0</v>
      </c>
      <c r="T15">
        <v>0</v>
      </c>
      <c r="U15" s="366">
        <f>P15+Q15+R15+S15+T15</f>
        <v>7.4910389085653897</v>
      </c>
      <c r="V15" s="366"/>
      <c r="W15" s="410" t="s">
        <v>488</v>
      </c>
      <c r="X15" s="476" t="s">
        <v>491</v>
      </c>
      <c r="Y15" s="35">
        <f>Y10*'LC factor'!D8+Y11*'LC factor'!D12</f>
        <v>5.2581924503620225</v>
      </c>
      <c r="Z15" s="35">
        <f>Z10*'LC factor'!D8+Z11*'LC factor'!D12</f>
        <v>5.3243207568962232</v>
      </c>
      <c r="AA15" s="35"/>
      <c r="AB15" s="35">
        <f>AB10*'LC factor'!D11+'LC factor'!D9*'NG-based (+2)'!AB11</f>
        <v>11.619866999981571</v>
      </c>
      <c r="AC15" s="40">
        <f>AC10*'LC factor'!D11+'LC factor'!D9*'NG-based (+2)'!AC11</f>
        <v>3.0063642967888056</v>
      </c>
      <c r="AD15">
        <v>0</v>
      </c>
      <c r="AE15" s="366">
        <f>Y15+Z15+AB15+AC15+AD15</f>
        <v>25.208744504028623</v>
      </c>
      <c r="AF15" s="410" t="s">
        <v>488</v>
      </c>
      <c r="AG15" s="476" t="s">
        <v>491</v>
      </c>
      <c r="AH15" s="380">
        <f>Y15</f>
        <v>5.2581924503620225</v>
      </c>
      <c r="AI15" s="35">
        <f>AI10*'LC factor'!D8+AI11*'LC factor'!D12</f>
        <v>3.4419178500793062</v>
      </c>
      <c r="AJ15" s="35"/>
      <c r="AK15" s="380">
        <f>AC15</f>
        <v>3.0063642967888056</v>
      </c>
      <c r="AL15">
        <v>0</v>
      </c>
      <c r="AM15" s="366">
        <f>AH15+AI15+AK15+AL15</f>
        <v>11.706474597230134</v>
      </c>
      <c r="AN15" s="366"/>
      <c r="AO15" s="410" t="s">
        <v>488</v>
      </c>
      <c r="AP15" s="476" t="s">
        <v>491</v>
      </c>
      <c r="AQ15" s="380">
        <f>AH15</f>
        <v>5.2581924503620225</v>
      </c>
      <c r="AR15" s="380">
        <f>D31/D9*K15</f>
        <v>0.29573118919959973</v>
      </c>
      <c r="AS15" s="35">
        <f>AS10*'LC factor'!D8+AS11*'LC factor'!D12</f>
        <v>3.4388222895004943</v>
      </c>
      <c r="AT15" s="35"/>
      <c r="AU15" s="380">
        <f t="shared" si="0"/>
        <v>3.0063642967888056</v>
      </c>
      <c r="AV15">
        <v>0</v>
      </c>
      <c r="AW15" s="366">
        <f>AQ15+AR15+AS15+AU15+AV15</f>
        <v>11.999110225850924</v>
      </c>
    </row>
    <row r="16" spans="1:49">
      <c r="A16" s="39"/>
      <c r="B16" s="35" t="s">
        <v>442</v>
      </c>
      <c r="C16" s="35"/>
      <c r="D16" s="64">
        <f>1/D14-1-D15</f>
        <v>3.0991744066047322E-2</v>
      </c>
      <c r="E16" s="35"/>
      <c r="F16" s="35"/>
      <c r="G16" s="40"/>
      <c r="H16" s="410" t="s">
        <v>489</v>
      </c>
      <c r="I16" s="476" t="s">
        <v>491</v>
      </c>
      <c r="J16" s="372">
        <f>J13+J14+J15</f>
        <v>124.60650583984881</v>
      </c>
      <c r="K16" s="373">
        <f>K13+K14+K15</f>
        <v>15.244339138734521</v>
      </c>
      <c r="L16" s="373">
        <f>L13+L14+L15</f>
        <v>1000</v>
      </c>
      <c r="M16" s="366">
        <f>(J16+K16+L16)/1000</f>
        <v>1.1398508449785834</v>
      </c>
      <c r="N16" s="410" t="s">
        <v>489</v>
      </c>
      <c r="O16" s="476" t="s">
        <v>491</v>
      </c>
      <c r="P16" s="372">
        <f>P13+P14+P15</f>
        <v>124.73123707692574</v>
      </c>
      <c r="Q16" s="372">
        <f>Q13+Q14+Q15</f>
        <v>3.0519197474943995</v>
      </c>
      <c r="R16" s="372">
        <f>R13+R14+R15</f>
        <v>82.518398988649764</v>
      </c>
      <c r="S16" s="373">
        <f>S13+S14+S15</f>
        <v>0</v>
      </c>
      <c r="T16" s="373">
        <f>T13+T14+T15</f>
        <v>1000</v>
      </c>
      <c r="U16" s="366">
        <f>P16+Q16+R16+S16+T16</f>
        <v>1210.3015558130699</v>
      </c>
      <c r="V16" s="366"/>
      <c r="W16" s="410" t="s">
        <v>489</v>
      </c>
      <c r="X16" s="476" t="s">
        <v>491</v>
      </c>
      <c r="Y16" s="372">
        <f>Y13+Y14+Y15</f>
        <v>124.60650583984881</v>
      </c>
      <c r="Z16" s="372">
        <f>Z13+Z14+Z15</f>
        <v>128.4548169460455</v>
      </c>
      <c r="AA16" s="372"/>
      <c r="AB16" s="372">
        <f>AB13+AB14+AB15</f>
        <v>12.693546854896191</v>
      </c>
      <c r="AC16" s="373">
        <f>AC13+AC14+AC15</f>
        <v>3.3257172013008915</v>
      </c>
      <c r="AD16" s="373">
        <f>AD13+AD14+AD15</f>
        <v>1000</v>
      </c>
      <c r="AE16" s="366">
        <f>Y16+Z16+AB16+AC16+AD16</f>
        <v>1269.0805868420914</v>
      </c>
      <c r="AF16" s="410" t="s">
        <v>489</v>
      </c>
      <c r="AG16" s="476" t="s">
        <v>491</v>
      </c>
      <c r="AH16" s="380">
        <f>Y16</f>
        <v>124.60650583984881</v>
      </c>
      <c r="AI16" s="372">
        <f>AI13+AI14+AI15</f>
        <v>134.66143055431442</v>
      </c>
      <c r="AJ16" s="372"/>
      <c r="AK16" s="380">
        <f>AC16</f>
        <v>3.3257172013008915</v>
      </c>
      <c r="AL16" s="373">
        <f>AL13+AL14+AL15</f>
        <v>1000</v>
      </c>
      <c r="AM16" s="366">
        <f>AH16+AI16+AK16+AL16</f>
        <v>1262.5936535954643</v>
      </c>
      <c r="AN16" s="366"/>
      <c r="AO16" s="410" t="s">
        <v>489</v>
      </c>
      <c r="AP16" s="476" t="s">
        <v>491</v>
      </c>
      <c r="AQ16" s="380">
        <f>AH16</f>
        <v>124.60650583984881</v>
      </c>
      <c r="AR16" s="380">
        <f>D31/D9*K16</f>
        <v>7.6221695693672604</v>
      </c>
      <c r="AS16" s="372">
        <f>AS13+AS14+AS15</f>
        <v>134.54031998919714</v>
      </c>
      <c r="AT16" s="372"/>
      <c r="AU16" s="380">
        <f t="shared" si="0"/>
        <v>3.3257172013008915</v>
      </c>
      <c r="AV16" s="373">
        <f>AV13+AV14+AV15</f>
        <v>1000</v>
      </c>
      <c r="AW16" s="366">
        <f>AQ16+AR16+AS16+AU16+AV16</f>
        <v>1270.0947125997141</v>
      </c>
    </row>
    <row r="17" spans="1:49">
      <c r="A17" s="39"/>
      <c r="B17" s="476" t="s">
        <v>475</v>
      </c>
      <c r="C17" s="35"/>
      <c r="D17" s="367">
        <f>'Key Input'!E8</f>
        <v>300</v>
      </c>
      <c r="E17" s="35" t="s">
        <v>448</v>
      </c>
      <c r="F17" s="35" t="s">
        <v>454</v>
      </c>
      <c r="G17" s="40"/>
      <c r="H17" s="39"/>
      <c r="I17" s="35"/>
      <c r="J17" s="372"/>
      <c r="K17" s="373"/>
      <c r="M17" s="436">
        <f>1/M16</f>
        <v>0.8773077674200338</v>
      </c>
      <c r="N17" s="39"/>
      <c r="O17" s="35"/>
      <c r="P17" s="35"/>
      <c r="Q17" s="35"/>
      <c r="R17" s="35"/>
      <c r="S17" s="40"/>
      <c r="U17" s="463">
        <f>1000/U16</f>
        <v>0.82624036563202541</v>
      </c>
      <c r="V17" s="463"/>
      <c r="W17" s="39"/>
      <c r="X17" s="35"/>
      <c r="Y17" s="35"/>
      <c r="Z17" s="35"/>
      <c r="AA17" s="35"/>
      <c r="AB17" s="35"/>
      <c r="AC17" s="40"/>
      <c r="AE17" s="463">
        <f>1000/AE16</f>
        <v>0.78797202507710218</v>
      </c>
      <c r="AF17" s="39"/>
      <c r="AG17" s="35"/>
      <c r="AH17" s="35"/>
      <c r="AI17" s="35"/>
      <c r="AJ17" s="35"/>
      <c r="AK17" s="35"/>
      <c r="AM17" s="463">
        <f>1000/AM16</f>
        <v>0.79202045499937268</v>
      </c>
      <c r="AN17" s="463"/>
      <c r="AO17" s="39"/>
      <c r="AP17" s="35"/>
      <c r="AQ17" s="35"/>
      <c r="AR17" s="35"/>
      <c r="AS17" s="35"/>
      <c r="AT17" s="35"/>
      <c r="AU17" s="380"/>
      <c r="AW17" s="463">
        <f>1000/AW16</f>
        <v>0.78734285725285302</v>
      </c>
    </row>
    <row r="18" spans="1:49">
      <c r="A18" s="39"/>
      <c r="B18" s="35"/>
      <c r="C18" s="361">
        <v>0.9</v>
      </c>
      <c r="D18" s="35" t="s">
        <v>433</v>
      </c>
      <c r="E18" s="35"/>
      <c r="F18" s="35"/>
      <c r="G18" s="40"/>
      <c r="H18" s="410" t="s">
        <v>490</v>
      </c>
      <c r="I18" s="527" t="s">
        <v>492</v>
      </c>
      <c r="J18" s="372">
        <f>J10*'LC factor'!H18+J11*'LC factor'!L18</f>
        <v>7293.9759327798283</v>
      </c>
      <c r="K18" s="373">
        <f>K10*'LC factor'!H18+K11*'LC factor'!L18</f>
        <v>958.25792612362227</v>
      </c>
      <c r="L18" s="532">
        <f>57700*0.99</f>
        <v>57123</v>
      </c>
      <c r="M18" s="366">
        <f>(J18+K18+L18)/1000</f>
        <v>65.375233858903442</v>
      </c>
      <c r="N18" s="410" t="s">
        <v>490</v>
      </c>
      <c r="O18" s="527" t="s">
        <v>492</v>
      </c>
      <c r="P18" s="35">
        <f>P10*'LC factor'!H18+P11*'LC factor'!L18</f>
        <v>7301.2772099898184</v>
      </c>
      <c r="Q18" s="527">
        <f>Q10*'LC factor'!H18+Q11*'LC factor'!L18</f>
        <v>191.84342865337786</v>
      </c>
      <c r="R18" s="527">
        <f>R10*'LC factor'!H18+R11*'LC factor'!L18</f>
        <v>6576.5624819434179</v>
      </c>
      <c r="S18" s="371">
        <f>S10*'LC factor'!H18+S11*'LC factor'!L18</f>
        <v>0</v>
      </c>
      <c r="T18" s="532">
        <f>57700*0.99</f>
        <v>57123</v>
      </c>
      <c r="W18" s="410" t="s">
        <v>490</v>
      </c>
      <c r="X18" s="527" t="s">
        <v>492</v>
      </c>
      <c r="Y18" s="35">
        <f>Y10*'LC factor'!H18+Y11*'LC factor'!L18</f>
        <v>7293.9759327798283</v>
      </c>
      <c r="Z18" s="527">
        <f>Z10*'LC factor'!H18+Z11*'LC factor'!L18</f>
        <v>7641.6778356213763</v>
      </c>
      <c r="AA18" s="527"/>
      <c r="AB18" s="527">
        <f>AB10*'LC factor'!L11+'LC factor'!L9*AB11</f>
        <v>952.82656318915792</v>
      </c>
      <c r="AC18" s="371">
        <f>AC10*'LC factor'!L11+'LC factor'!L9*AC11</f>
        <v>240.82008388281974</v>
      </c>
      <c r="AD18" s="532">
        <f>57700*0.99</f>
        <v>57123</v>
      </c>
      <c r="AF18" s="410" t="s">
        <v>490</v>
      </c>
      <c r="AG18" s="527" t="s">
        <v>492</v>
      </c>
      <c r="AH18" s="380">
        <f>Y18</f>
        <v>7293.9759327798283</v>
      </c>
      <c r="AI18" s="527">
        <f>AI10*'LC factor'!H18+AI11*'LC factor'!L18</f>
        <v>10732.304665235995</v>
      </c>
      <c r="AJ18" s="527"/>
      <c r="AK18" s="380">
        <f>AC18</f>
        <v>240.82008388281974</v>
      </c>
      <c r="AL18" s="532">
        <f>57700*0.99</f>
        <v>57123</v>
      </c>
      <c r="AO18" s="410" t="s">
        <v>490</v>
      </c>
      <c r="AP18" s="527" t="s">
        <v>492</v>
      </c>
      <c r="AQ18" s="380">
        <f>AH18</f>
        <v>7293.9759327798283</v>
      </c>
      <c r="AR18" s="380">
        <f>D31/D9*K18</f>
        <v>479.12896306181113</v>
      </c>
      <c r="AS18" s="527">
        <f>AS10*'LC factor'!H18+AS11*'LC factor'!L18</f>
        <v>10722.652343278125</v>
      </c>
      <c r="AT18" s="527"/>
      <c r="AU18" s="380">
        <f t="shared" ref="AU18:AU21" si="1">AK18</f>
        <v>240.82008388281974</v>
      </c>
      <c r="AV18" s="532">
        <f>57700*0.99</f>
        <v>57123</v>
      </c>
    </row>
    <row r="19" spans="1:49" ht="15" thickBot="1">
      <c r="A19" s="41"/>
      <c r="B19" s="42"/>
      <c r="C19" s="452">
        <v>0.1</v>
      </c>
      <c r="D19" s="42" t="s">
        <v>445</v>
      </c>
      <c r="E19" s="42"/>
      <c r="F19" s="42"/>
      <c r="G19" s="43"/>
      <c r="H19" s="410" t="s">
        <v>493</v>
      </c>
      <c r="I19" s="527" t="s">
        <v>492</v>
      </c>
      <c r="J19" s="532">
        <f>(J10*'LC factor'!H19+J11*'LC factor'!L19)/1+(72/F5*D5)</f>
        <v>82.425169497414885</v>
      </c>
      <c r="K19" s="373">
        <f>(K10*'LC factor'!H19+K11*'LC factor'!L19)/1</f>
        <v>2.1781169934031439</v>
      </c>
      <c r="L19">
        <v>0</v>
      </c>
      <c r="M19" s="366">
        <f>(J19+K19+L19)/1000</f>
        <v>8.4603286490818025E-2</v>
      </c>
      <c r="N19" s="410" t="s">
        <v>493</v>
      </c>
      <c r="O19" s="527" t="s">
        <v>492</v>
      </c>
      <c r="P19" s="527">
        <f>(P10*'LC factor'!H19+P11*'LC factor'!L19)/1+(72/F5*D5)</f>
        <v>82.435605102517414</v>
      </c>
      <c r="Q19" s="527">
        <f>(Q10*'LC factor'!H19+Q11*'LC factor'!L19)/1</f>
        <v>0.43605945813876762</v>
      </c>
      <c r="R19" s="527">
        <f>(R10*'LC factor'!H19+R11*'LC factor'!L19)/1</f>
        <v>30.819151283445795</v>
      </c>
      <c r="S19" s="371">
        <f>(S10*'LC factor'!H19+S11*'LC factor'!L19)/1</f>
        <v>0</v>
      </c>
      <c r="T19">
        <v>0</v>
      </c>
      <c r="W19" s="410" t="s">
        <v>493</v>
      </c>
      <c r="X19" s="527" t="s">
        <v>492</v>
      </c>
      <c r="Y19" s="527">
        <f>(Y10*'LC factor'!H19+Y11*'LC factor'!L19)/1+(72/F5*D5)</f>
        <v>82.425169497414885</v>
      </c>
      <c r="Z19" s="527">
        <f>(Z10*'LC factor'!H19+Z11*'LC factor'!L19)/1</f>
        <v>12.423928031552515</v>
      </c>
      <c r="AA19" s="527"/>
      <c r="AB19" s="527">
        <f>AB10*'LC factor'!M11+'LC factor'!M9*AB11</f>
        <v>0.40893874414395043</v>
      </c>
      <c r="AC19" s="371">
        <f>AC10*'LC factor'!M19+'LC factor'!M19*AC11</f>
        <v>0</v>
      </c>
      <c r="AD19">
        <v>0</v>
      </c>
      <c r="AF19" s="410" t="s">
        <v>493</v>
      </c>
      <c r="AG19" s="527" t="s">
        <v>492</v>
      </c>
      <c r="AH19" s="380">
        <f>Y19</f>
        <v>82.425169497414885</v>
      </c>
      <c r="AI19" s="527">
        <f>(AI10*'LC factor'!H19+AI11*'LC factor'!L19)/1</f>
        <v>50.294189660191208</v>
      </c>
      <c r="AJ19" s="527"/>
      <c r="AK19" s="380">
        <f>AC19</f>
        <v>0</v>
      </c>
      <c r="AL19">
        <v>0</v>
      </c>
      <c r="AO19" s="410" t="s">
        <v>493</v>
      </c>
      <c r="AP19" s="527" t="s">
        <v>492</v>
      </c>
      <c r="AQ19" s="380">
        <f>AH19</f>
        <v>82.425169497414885</v>
      </c>
      <c r="AR19" s="380">
        <f>D31/D9*K19</f>
        <v>1.089058496701572</v>
      </c>
      <c r="AS19" s="527">
        <f>(AS10*'LC factor'!H19+AS11*'LC factor'!L19)/1</f>
        <v>50.248956532139701</v>
      </c>
      <c r="AT19" s="527"/>
      <c r="AU19" s="380">
        <f t="shared" si="1"/>
        <v>0</v>
      </c>
      <c r="AV19">
        <v>0</v>
      </c>
    </row>
    <row r="20" spans="1:49">
      <c r="A20" s="39"/>
      <c r="B20" s="35"/>
      <c r="C20" s="35"/>
      <c r="D20" s="35"/>
      <c r="E20" s="35"/>
      <c r="F20" s="35"/>
      <c r="G20" s="40"/>
      <c r="H20" s="39" t="s">
        <v>494</v>
      </c>
      <c r="I20" s="689" t="s">
        <v>1015</v>
      </c>
      <c r="J20" s="372">
        <f>(J10*'LC factor'!H20+J11*'LC factor'!L20)/1000</f>
        <v>1.5325798843518956E-4</v>
      </c>
      <c r="K20" s="373">
        <f>(K10*'LC factor'!H20+K11*'LC factor'!L20)/1000</f>
        <v>1.8826877950371856E-5</v>
      </c>
      <c r="L20">
        <v>0</v>
      </c>
      <c r="M20" s="366">
        <f>(J20+K20+L20)/1000</f>
        <v>1.7208486638556142E-7</v>
      </c>
      <c r="N20" s="39" t="s">
        <v>494</v>
      </c>
      <c r="O20" s="689" t="s">
        <v>1015</v>
      </c>
      <c r="P20" s="527">
        <f>(P10*'LC factor'!H20+P11*'LC factor'!L20)/1000</f>
        <v>1.534113998350246E-4</v>
      </c>
      <c r="Q20" s="527">
        <f>(Q10*'LC factor'!H20+Q11*'LC factor'!L20)/1000</f>
        <v>3.7691447348091811E-6</v>
      </c>
      <c r="R20" s="527">
        <f>(R10*'LC factor'!H20+R11*'LC factor'!L20)/1000</f>
        <v>1.0354079017600139E-4</v>
      </c>
      <c r="S20" s="371">
        <f>(S10*'LC factor'!H20+S11*'LC factor'!L20)/1000</f>
        <v>0</v>
      </c>
      <c r="T20">
        <v>0</v>
      </c>
      <c r="W20" s="39" t="s">
        <v>494</v>
      </c>
      <c r="X20" s="689" t="s">
        <v>1015</v>
      </c>
      <c r="Y20" s="527">
        <f>(Y10*'LC factor'!H20+Y11*'LC factor'!L20)/1000</f>
        <v>1.5325798843518956E-4</v>
      </c>
      <c r="Z20" s="527">
        <f>(Z10*'LC factor'!H20+Z11*'LC factor'!L20)/1000</f>
        <v>1.5813478936734261E-4</v>
      </c>
      <c r="AA20" s="527"/>
      <c r="AB20" s="527">
        <f>(AB10*'LC factor'!N20+'LC factor'!N20*AB11)/1000</f>
        <v>0</v>
      </c>
      <c r="AC20" s="371">
        <f>(AC10*'LC factor'!N20+'LC factor'!N20*AC11)/1000</f>
        <v>0</v>
      </c>
      <c r="AD20">
        <v>0</v>
      </c>
      <c r="AF20" s="39" t="s">
        <v>494</v>
      </c>
      <c r="AG20" s="689" t="s">
        <v>1015</v>
      </c>
      <c r="AH20" s="380">
        <f>Y20</f>
        <v>1.5325798843518956E-4</v>
      </c>
      <c r="AI20" s="527">
        <f>(AI10*'LC factor'!H20+AI11*'LC factor'!L20)/1000</f>
        <v>1.6896782962289418E-4</v>
      </c>
      <c r="AJ20" s="527"/>
      <c r="AK20" s="380">
        <f>AC20</f>
        <v>0</v>
      </c>
      <c r="AL20">
        <v>0</v>
      </c>
      <c r="AO20" s="39" t="s">
        <v>494</v>
      </c>
      <c r="AP20" s="689" t="s">
        <v>1015</v>
      </c>
      <c r="AQ20" s="380">
        <f>AH20</f>
        <v>1.5325798843518956E-4</v>
      </c>
      <c r="AR20" s="380">
        <f>D31/D9*K20</f>
        <v>9.4134389751859279E-6</v>
      </c>
      <c r="AS20" s="527">
        <f>(AS10*'LC factor'!H20+AS11*'LC factor'!L20)/1000</f>
        <v>1.6881586488252248E-4</v>
      </c>
      <c r="AT20" s="527"/>
      <c r="AU20" s="380">
        <f t="shared" si="1"/>
        <v>0</v>
      </c>
      <c r="AV20">
        <v>0</v>
      </c>
    </row>
    <row r="21" spans="1:49" ht="15" thickBot="1">
      <c r="A21" s="466" t="s">
        <v>601</v>
      </c>
      <c r="B21" s="108" t="s">
        <v>658</v>
      </c>
      <c r="C21" s="108"/>
      <c r="D21" s="111">
        <f>'Key Input'!E11</f>
        <v>0.90200000000000002</v>
      </c>
      <c r="E21" s="108"/>
      <c r="F21" s="108"/>
      <c r="G21" s="467"/>
      <c r="H21" s="376" t="s">
        <v>495</v>
      </c>
      <c r="I21" s="376" t="s">
        <v>496</v>
      </c>
      <c r="J21" s="377">
        <f>(J18+J19*25+J20*0.298)/1000</f>
        <v>9.35460521588608</v>
      </c>
      <c r="K21" s="377">
        <f>(K18+K19*25+K20*0.298)/1000</f>
        <v>1.0127108565691105</v>
      </c>
      <c r="L21" s="377">
        <f>(L18+L19*25+L20*0.298)/1000</f>
        <v>57.122999999999998</v>
      </c>
      <c r="M21" s="366">
        <f>(J21+K21+L21)</f>
        <v>67.490316072455187</v>
      </c>
      <c r="N21" s="375" t="s">
        <v>495</v>
      </c>
      <c r="O21" s="376" t="s">
        <v>496</v>
      </c>
      <c r="P21" s="377">
        <f>(P18+P19*25+P20*0.298)/1000</f>
        <v>9.3621673832693499</v>
      </c>
      <c r="Q21" s="377">
        <f>(Q18+Q19*25+Q20*0.298)/1000</f>
        <v>0.2027449162300522</v>
      </c>
      <c r="R21" s="377">
        <f>(R18+R19*25+R20*0.298)/1000</f>
        <v>7.3470412948847175</v>
      </c>
      <c r="S21" s="377">
        <f>(S18+S19*25+S20*0.298)/1000</f>
        <v>0</v>
      </c>
      <c r="T21" s="377">
        <f>(T18+T19*25+T20*0.298)/1000</f>
        <v>57.122999999999998</v>
      </c>
      <c r="U21" s="462">
        <f>P21+Q21+R21+S21+T21</f>
        <v>74.03495359438412</v>
      </c>
      <c r="V21" s="366"/>
      <c r="W21" s="375" t="s">
        <v>495</v>
      </c>
      <c r="X21" s="376" t="s">
        <v>496</v>
      </c>
      <c r="Y21" s="377">
        <f>(Y18+Y19*25+Y20*0.298)/1000</f>
        <v>9.35460521588608</v>
      </c>
      <c r="Z21" s="377">
        <f>(Z18+Z19*25+Z20*0.298)/1000</f>
        <v>7.9522760835343567</v>
      </c>
      <c r="AA21" s="377"/>
      <c r="AB21" s="377">
        <f>(AB18+AB19*25+AB20*0.298)/1000</f>
        <v>0.96305003179275672</v>
      </c>
      <c r="AC21" s="377">
        <f>(AC18+AC19*25+AC20*0.298)/1000</f>
        <v>0.24082008388281975</v>
      </c>
      <c r="AD21" s="377">
        <f>(AD18+AD19*25+AD20*0.298)/1000</f>
        <v>57.122999999999998</v>
      </c>
      <c r="AE21" s="462">
        <f>Y21+Z21+AB21+AC21+AD21</f>
        <v>75.633751415096015</v>
      </c>
      <c r="AF21" s="375" t="s">
        <v>495</v>
      </c>
      <c r="AG21" s="376" t="s">
        <v>496</v>
      </c>
      <c r="AH21" s="377">
        <f>(AH18+AH19*25+AH20*0.298)/1000</f>
        <v>9.35460521588608</v>
      </c>
      <c r="AI21" s="377">
        <f>(AI18+AI19*25+AI20*0.298)/1000</f>
        <v>11.989659457093188</v>
      </c>
      <c r="AJ21" s="377"/>
      <c r="AK21" s="377">
        <f>(AK18+AK19*25+AK20*0.298)/1000</f>
        <v>0.24082008388281975</v>
      </c>
      <c r="AL21" s="377">
        <f>(AL18+AL19*25+AL20*0.298)/1000</f>
        <v>57.122999999999998</v>
      </c>
      <c r="AM21" s="462">
        <f>AH21+AI21+AK21+AL21</f>
        <v>78.708084756862092</v>
      </c>
      <c r="AN21" s="366"/>
      <c r="AO21" s="375" t="s">
        <v>495</v>
      </c>
      <c r="AP21" s="376" t="s">
        <v>496</v>
      </c>
      <c r="AQ21" s="380">
        <f>AH21</f>
        <v>9.35460521588608</v>
      </c>
      <c r="AR21" s="377">
        <f>(AR18+AR19*25+AR20*0.298)/1000</f>
        <v>0.50635542828455526</v>
      </c>
      <c r="AS21" s="377">
        <f>(AS18+AS19*25+AS20*0.298)/1000</f>
        <v>11.978876306888745</v>
      </c>
      <c r="AT21" s="377"/>
      <c r="AU21" s="380">
        <f t="shared" si="1"/>
        <v>0.24082008388281975</v>
      </c>
      <c r="AV21" s="377">
        <f>(AV18+AV19*25+AV20*0.298)/1000</f>
        <v>57.122999999999998</v>
      </c>
      <c r="AW21" s="462">
        <f>AQ21+AR21+AS21+AU21+AV21</f>
        <v>79.203657034942196</v>
      </c>
    </row>
    <row r="22" spans="1:49">
      <c r="A22" s="93"/>
      <c r="B22" s="35" t="s">
        <v>437</v>
      </c>
      <c r="C22" s="35"/>
      <c r="D22" s="389" t="s">
        <v>433</v>
      </c>
      <c r="E22" s="455">
        <v>0.98</v>
      </c>
      <c r="F22" s="35"/>
      <c r="G22" s="84"/>
      <c r="J22" s="463">
        <f>J21/M21</f>
        <v>0.13860662922134356</v>
      </c>
      <c r="K22" s="463">
        <f>K21/M21</f>
        <v>1.5005276541924925E-2</v>
      </c>
      <c r="L22" s="463">
        <f>L21/M21</f>
        <v>0.84638809423673156</v>
      </c>
      <c r="P22" s="463">
        <f>P21/U21</f>
        <v>0.12645604445924191</v>
      </c>
      <c r="Q22" s="463">
        <f>Q21/U21</f>
        <v>2.7385026448565413E-3</v>
      </c>
      <c r="R22" s="463">
        <f>R21/U21</f>
        <v>9.9237467414878253E-2</v>
      </c>
      <c r="S22" s="463">
        <f>S21/U21</f>
        <v>0</v>
      </c>
      <c r="T22" s="463">
        <f>T21/U21</f>
        <v>0.77156798548102323</v>
      </c>
      <c r="Y22" s="463">
        <f>Y21/AE21</f>
        <v>0.12368294631514153</v>
      </c>
      <c r="Z22" s="463">
        <f>Z21/AE21</f>
        <v>0.10514189676894875</v>
      </c>
      <c r="AA22" s="463"/>
      <c r="AB22" s="463">
        <f>AB21/AE21</f>
        <v>1.2733072388639155E-2</v>
      </c>
      <c r="AC22" s="463">
        <f>AC21/AE21</f>
        <v>3.1840293437402287E-3</v>
      </c>
      <c r="AD22" s="463">
        <f>AD21/AE21</f>
        <v>0.75525805518353029</v>
      </c>
      <c r="AG22" s="463"/>
      <c r="AH22" s="463">
        <f>AH21/AM21</f>
        <v>0.11885189742303452</v>
      </c>
      <c r="AI22" s="463">
        <f>AI21/AM21</f>
        <v>0.15233072300171654</v>
      </c>
      <c r="AJ22" s="463"/>
      <c r="AK22" s="463">
        <f>AK21/AM21</f>
        <v>3.05966133754543E-3</v>
      </c>
      <c r="AL22" s="463">
        <f>AL21/AM21</f>
        <v>0.72575771823770341</v>
      </c>
      <c r="AQ22" s="463">
        <f>AQ21/AW21</f>
        <v>0.11810824860977212</v>
      </c>
      <c r="AR22" s="463">
        <f>AR21/AW21</f>
        <v>6.3930814212425436E-3</v>
      </c>
      <c r="AS22" s="463">
        <f>AS21/AW21</f>
        <v>0.15124145469197259</v>
      </c>
      <c r="AT22" s="463"/>
      <c r="AU22" s="463">
        <f>AU21/AW21</f>
        <v>3.0405172298619671E-3</v>
      </c>
      <c r="AV22" s="463">
        <f>AV21/AW21</f>
        <v>0.72121669804715083</v>
      </c>
    </row>
    <row r="23" spans="1:49">
      <c r="A23" s="93"/>
      <c r="B23" s="35"/>
      <c r="C23" s="35"/>
      <c r="D23" s="389" t="s">
        <v>446</v>
      </c>
      <c r="E23" s="455">
        <f>1-E22</f>
        <v>2.0000000000000018E-2</v>
      </c>
      <c r="F23" s="35"/>
      <c r="G23" s="84"/>
      <c r="AE23">
        <f>AE21/'NG-based'!AE21</f>
        <v>0.99340703454944812</v>
      </c>
      <c r="AM23">
        <f>AM21/'NG-based'!AM21</f>
        <v>0.99694967163422232</v>
      </c>
      <c r="AW23">
        <f>AW21/'NG-based'!AW21</f>
        <v>0.99065456245590544</v>
      </c>
    </row>
    <row r="24" spans="1:49">
      <c r="A24" s="93"/>
      <c r="B24" s="476" t="s">
        <v>602</v>
      </c>
      <c r="C24" s="35"/>
      <c r="D24" s="450">
        <f>'Key Input'!E12/2</f>
        <v>3350</v>
      </c>
      <c r="E24" s="361" t="s">
        <v>448</v>
      </c>
      <c r="F24" s="35" t="s">
        <v>449</v>
      </c>
      <c r="G24" s="84"/>
      <c r="AE24">
        <f>90.4/AE21</f>
        <v>1.1952335869718178</v>
      </c>
      <c r="AM24">
        <f>88.4/AM21</f>
        <v>1.1231374803881622</v>
      </c>
      <c r="AW24">
        <f>89.4/AW21</f>
        <v>1.1287357597712881</v>
      </c>
    </row>
    <row r="25" spans="1:49">
      <c r="A25" s="93"/>
      <c r="B25" s="35"/>
      <c r="C25" s="35"/>
      <c r="D25" s="35"/>
      <c r="E25" s="35"/>
      <c r="F25" s="35"/>
      <c r="G25" s="84"/>
      <c r="AE25">
        <f>74.7/AE21</f>
        <v>0.98765430250879183</v>
      </c>
      <c r="AM25">
        <f>73.5/AM21</f>
        <v>0.93383037113721623</v>
      </c>
      <c r="AW25">
        <f>74.3/AW21</f>
        <v>0.93808799721484004</v>
      </c>
    </row>
    <row r="26" spans="1:49">
      <c r="A26" s="468" t="s">
        <v>603</v>
      </c>
      <c r="B26" s="454" t="s">
        <v>612</v>
      </c>
      <c r="C26" s="35"/>
      <c r="D26" s="35"/>
      <c r="E26" s="35"/>
      <c r="F26" s="35"/>
      <c r="G26" s="84"/>
    </row>
    <row r="27" spans="1:49">
      <c r="A27" s="93"/>
      <c r="B27" s="454" t="s">
        <v>659</v>
      </c>
      <c r="C27" s="35"/>
      <c r="D27" s="64">
        <f>'Key Input'!E13</f>
        <v>0.95185878577159677</v>
      </c>
      <c r="E27" s="35"/>
      <c r="F27" s="35"/>
      <c r="G27" s="84"/>
    </row>
    <row r="28" spans="1:49">
      <c r="A28" s="93"/>
      <c r="B28" s="35" t="s">
        <v>437</v>
      </c>
      <c r="C28" s="35"/>
      <c r="D28" s="389" t="s">
        <v>433</v>
      </c>
      <c r="E28" s="455">
        <v>0</v>
      </c>
      <c r="F28" s="35"/>
      <c r="G28" s="84"/>
    </row>
    <row r="29" spans="1:49">
      <c r="A29" s="93"/>
      <c r="B29" s="35"/>
      <c r="C29" s="35"/>
      <c r="D29" s="389" t="s">
        <v>446</v>
      </c>
      <c r="E29" s="455">
        <f>1-E28</f>
        <v>1</v>
      </c>
      <c r="F29" s="35"/>
      <c r="G29" s="84"/>
    </row>
    <row r="30" spans="1:49">
      <c r="A30" s="93"/>
      <c r="B30" s="35"/>
      <c r="C30" s="35"/>
      <c r="D30" s="35"/>
      <c r="E30" s="35"/>
      <c r="F30" s="35"/>
      <c r="G30" s="84"/>
    </row>
    <row r="31" spans="1:49">
      <c r="A31" s="468" t="s">
        <v>604</v>
      </c>
      <c r="B31" s="454" t="s">
        <v>605</v>
      </c>
      <c r="C31" s="35"/>
      <c r="D31" s="450">
        <f>'Key Input'!E15/2</f>
        <v>750</v>
      </c>
      <c r="E31" s="476" t="s">
        <v>606</v>
      </c>
      <c r="F31" s="454" t="s">
        <v>454</v>
      </c>
      <c r="G31" s="84"/>
    </row>
    <row r="32" spans="1:49">
      <c r="A32" s="93"/>
      <c r="B32" s="454" t="s">
        <v>659</v>
      </c>
      <c r="C32" s="35"/>
      <c r="D32" s="64">
        <f>'Key Input'!E14</f>
        <v>0.95189999999999997</v>
      </c>
      <c r="E32" s="35"/>
      <c r="F32" s="35"/>
      <c r="G32" s="84"/>
    </row>
    <row r="33" spans="1:7">
      <c r="A33" s="93"/>
      <c r="B33" s="35" t="s">
        <v>437</v>
      </c>
      <c r="C33" s="35"/>
      <c r="D33" s="389" t="s">
        <v>433</v>
      </c>
      <c r="E33" s="455">
        <v>0</v>
      </c>
      <c r="F33" s="35"/>
      <c r="G33" s="84"/>
    </row>
    <row r="34" spans="1:7">
      <c r="A34" s="468"/>
      <c r="B34" s="35"/>
      <c r="C34" s="35"/>
      <c r="D34" s="389" t="s">
        <v>446</v>
      </c>
      <c r="E34" s="455">
        <f>1-E33</f>
        <v>1</v>
      </c>
      <c r="F34" s="35"/>
      <c r="G34" s="84"/>
    </row>
    <row r="35" spans="1:7">
      <c r="A35" s="93"/>
      <c r="B35" s="35"/>
      <c r="C35" s="35"/>
      <c r="D35" s="35"/>
      <c r="E35" s="35"/>
      <c r="F35" s="35"/>
      <c r="G35" s="84"/>
    </row>
    <row r="36" spans="1:7">
      <c r="A36" s="93" t="s">
        <v>660</v>
      </c>
      <c r="B36" s="476" t="s">
        <v>600</v>
      </c>
      <c r="C36" s="35"/>
      <c r="D36" s="35"/>
      <c r="E36" s="361"/>
      <c r="F36" s="35"/>
      <c r="G36" s="84"/>
    </row>
    <row r="37" spans="1:7">
      <c r="A37" s="468"/>
      <c r="B37" s="476"/>
      <c r="C37" s="35"/>
      <c r="D37" s="450">
        <f>'Key Input'!E16/2</f>
        <v>50</v>
      </c>
      <c r="E37" s="35" t="s">
        <v>448</v>
      </c>
      <c r="F37" s="35" t="s">
        <v>450</v>
      </c>
      <c r="G37" s="84"/>
    </row>
    <row r="38" spans="1:7">
      <c r="A38" s="93"/>
      <c r="B38" s="35"/>
      <c r="C38" s="35"/>
      <c r="D38" s="35"/>
      <c r="E38" s="35"/>
      <c r="F38" s="35"/>
      <c r="G38" s="84"/>
    </row>
    <row r="39" spans="1:7">
      <c r="A39" s="93"/>
      <c r="B39" s="454" t="s">
        <v>469</v>
      </c>
      <c r="C39" s="476" t="s">
        <v>449</v>
      </c>
      <c r="D39" s="389">
        <v>150</v>
      </c>
      <c r="E39" s="454" t="s">
        <v>470</v>
      </c>
      <c r="F39" s="476" t="s">
        <v>502</v>
      </c>
      <c r="G39" s="84"/>
    </row>
    <row r="40" spans="1:7">
      <c r="A40" s="93"/>
      <c r="B40" s="35"/>
      <c r="C40" s="476" t="s">
        <v>450</v>
      </c>
      <c r="D40" s="389">
        <v>2500</v>
      </c>
      <c r="E40" s="454" t="s">
        <v>470</v>
      </c>
      <c r="F40" s="384" t="s">
        <v>503</v>
      </c>
      <c r="G40" s="84"/>
    </row>
    <row r="41" spans="1:7">
      <c r="A41" s="93"/>
      <c r="B41" s="35"/>
      <c r="C41" s="476" t="s">
        <v>454</v>
      </c>
      <c r="D41" s="389">
        <f>C12</f>
        <v>372</v>
      </c>
      <c r="E41" s="454" t="str">
        <f>D12</f>
        <v>kj/tkm</v>
      </c>
      <c r="F41" s="384"/>
      <c r="G41" s="84"/>
    </row>
    <row r="42" spans="1:7">
      <c r="A42" s="93"/>
      <c r="B42" s="35"/>
      <c r="C42" s="35"/>
      <c r="D42" s="455">
        <f>C10</f>
        <v>0.9</v>
      </c>
      <c r="E42" s="455" t="str">
        <f>D10</f>
        <v>NG</v>
      </c>
      <c r="F42" s="384"/>
      <c r="G42" s="84"/>
    </row>
    <row r="43" spans="1:7">
      <c r="A43" s="101"/>
      <c r="B43" s="102"/>
      <c r="C43" s="102"/>
      <c r="D43" s="469">
        <f>C11</f>
        <v>0.1</v>
      </c>
      <c r="E43" s="469" t="str">
        <f>D11</f>
        <v>electricity</v>
      </c>
      <c r="F43" s="470"/>
      <c r="G43" s="471"/>
    </row>
    <row r="44" spans="1:7" ht="15" thickBot="1">
      <c r="A44" s="39"/>
      <c r="B44" s="35"/>
      <c r="C44" s="35"/>
      <c r="D44" s="454"/>
      <c r="E44" s="384"/>
      <c r="F44" s="35"/>
      <c r="G44" s="40"/>
    </row>
    <row r="45" spans="1:7">
      <c r="A45" s="36" t="s">
        <v>447</v>
      </c>
      <c r="B45" s="37" t="s">
        <v>443</v>
      </c>
      <c r="C45" s="37"/>
      <c r="D45" s="447">
        <f>'Key Input'!E18</f>
        <v>0.54200000000000004</v>
      </c>
      <c r="E45" s="37"/>
      <c r="F45" s="37"/>
      <c r="G45" s="38"/>
    </row>
    <row r="46" spans="1:7">
      <c r="A46" s="39"/>
      <c r="B46" s="35" t="s">
        <v>437</v>
      </c>
      <c r="C46" s="35"/>
      <c r="D46" s="35" t="s">
        <v>433</v>
      </c>
      <c r="E46" s="64">
        <v>1</v>
      </c>
      <c r="F46" s="35"/>
      <c r="G46" s="40"/>
    </row>
    <row r="47" spans="1:7">
      <c r="A47" s="39"/>
      <c r="B47" s="35" t="s">
        <v>451</v>
      </c>
      <c r="C47" s="35"/>
      <c r="D47" s="35">
        <v>100</v>
      </c>
      <c r="E47" s="35" t="s">
        <v>448</v>
      </c>
      <c r="F47" s="35" t="s">
        <v>454</v>
      </c>
      <c r="G47" s="40"/>
    </row>
    <row r="48" spans="1:7" ht="15" thickBot="1">
      <c r="A48" s="41"/>
      <c r="B48" s="42" t="s">
        <v>452</v>
      </c>
      <c r="C48" s="42"/>
      <c r="D48" s="42" t="s">
        <v>453</v>
      </c>
      <c r="E48" s="376" t="s">
        <v>505</v>
      </c>
      <c r="F48" s="42"/>
      <c r="G48" s="43"/>
    </row>
  </sheetData>
  <phoneticPr fontId="4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30" sqref="H30"/>
    </sheetView>
  </sheetViews>
  <sheetFormatPr defaultRowHeight="14.4"/>
  <sheetData>
    <row r="1" spans="1:9" ht="15" thickBot="1">
      <c r="A1" s="403" t="s">
        <v>514</v>
      </c>
      <c r="E1" s="36"/>
      <c r="F1" s="416" t="s">
        <v>583</v>
      </c>
      <c r="G1" s="37"/>
      <c r="H1" s="38"/>
    </row>
    <row r="2" spans="1:9">
      <c r="B2" s="403" t="s">
        <v>560</v>
      </c>
      <c r="C2">
        <v>20.908000000000001</v>
      </c>
      <c r="D2" s="403" t="s">
        <v>519</v>
      </c>
      <c r="E2" s="36"/>
      <c r="F2" s="411" t="s">
        <v>564</v>
      </c>
      <c r="G2" s="411" t="s">
        <v>563</v>
      </c>
      <c r="H2" s="414" t="s">
        <v>565</v>
      </c>
      <c r="I2" s="417" t="s">
        <v>541</v>
      </c>
    </row>
    <row r="3" spans="1:9">
      <c r="B3" s="403" t="s">
        <v>561</v>
      </c>
      <c r="C3">
        <v>26.344000000000001</v>
      </c>
      <c r="D3" s="403" t="s">
        <v>519</v>
      </c>
      <c r="E3" s="410" t="s">
        <v>538</v>
      </c>
      <c r="F3" s="35">
        <v>1</v>
      </c>
      <c r="G3" s="35">
        <v>1</v>
      </c>
      <c r="H3" s="40"/>
    </row>
    <row r="4" spans="1:9" ht="15" thickBot="1">
      <c r="E4" s="410" t="s">
        <v>539</v>
      </c>
      <c r="F4" s="35"/>
      <c r="G4" s="35"/>
      <c r="H4" s="40"/>
    </row>
    <row r="5" spans="1:9">
      <c r="A5" s="406" t="s">
        <v>562</v>
      </c>
      <c r="B5" s="37"/>
      <c r="C5" s="500">
        <f>'LC for SE'!O3/100</f>
        <v>0.94599999999999995</v>
      </c>
      <c r="D5" s="37"/>
      <c r="E5" s="39" t="str">
        <f t="shared" ref="E5:F7" si="0">C15</f>
        <v>LCA-Coal</v>
      </c>
      <c r="F5" s="35">
        <f t="shared" si="0"/>
        <v>7.0244550443909357E-2</v>
      </c>
      <c r="G5" s="35">
        <f>D34</f>
        <v>2.3506538253191479E-3</v>
      </c>
      <c r="H5" s="40">
        <v>1</v>
      </c>
      <c r="I5">
        <f>SUM(F5:H5)</f>
        <v>1.0725952042692286</v>
      </c>
    </row>
    <row r="6" spans="1:9">
      <c r="A6" s="39"/>
      <c r="B6" s="407" t="s">
        <v>521</v>
      </c>
      <c r="C6" s="35" t="str">
        <f>'LC for SE'!A4</f>
        <v>原煤</v>
      </c>
      <c r="D6" s="415">
        <f>'LC for SE'!B4</f>
        <v>0.73</v>
      </c>
      <c r="E6" s="39" t="str">
        <f t="shared" si="0"/>
        <v>LCA-NG</v>
      </c>
      <c r="F6" s="35">
        <f t="shared" si="0"/>
        <v>2.0890782889716659E-3</v>
      </c>
      <c r="G6" s="35">
        <f>D35</f>
        <v>6.3940305030923841E-4</v>
      </c>
      <c r="H6" s="40">
        <v>0</v>
      </c>
      <c r="I6">
        <f>SUM(F6:H6)</f>
        <v>2.7284813392809042E-3</v>
      </c>
    </row>
    <row r="7" spans="1:9">
      <c r="A7" s="39"/>
      <c r="B7" s="35"/>
      <c r="C7" s="35" t="str">
        <f>'LC for SE'!A5</f>
        <v>原始天然气</v>
      </c>
      <c r="D7" s="415">
        <f>'LC for SE'!B5</f>
        <v>0</v>
      </c>
      <c r="E7" s="39" t="str">
        <f t="shared" si="0"/>
        <v>LCA-Oil</v>
      </c>
      <c r="F7" s="35">
        <f t="shared" si="0"/>
        <v>2.7428274248171747E-3</v>
      </c>
      <c r="G7" s="35">
        <f>D36</f>
        <v>1.2006075120946069E-2</v>
      </c>
      <c r="H7" s="40">
        <v>0</v>
      </c>
      <c r="I7">
        <f>SUM(F7:H7)</f>
        <v>1.4748902545763243E-2</v>
      </c>
    </row>
    <row r="8" spans="1:9">
      <c r="A8" s="39"/>
      <c r="B8" s="35"/>
      <c r="C8" s="35" t="str">
        <f>'LC for SE'!A6</f>
        <v>原油</v>
      </c>
      <c r="D8" s="415">
        <f>'LC for SE'!B6</f>
        <v>0</v>
      </c>
      <c r="E8" s="39" t="str">
        <f>C18</f>
        <v>LCA-PE</v>
      </c>
      <c r="F8" s="404">
        <f>F5+F6+F7</f>
        <v>7.5076456157698188E-2</v>
      </c>
      <c r="G8" s="404">
        <f>G5+G6+G7</f>
        <v>1.4996131996574454E-2</v>
      </c>
      <c r="H8" s="409">
        <f>H5+H6+H7</f>
        <v>1</v>
      </c>
      <c r="I8">
        <f>SUM(F8:H8)</f>
        <v>1.0900725881542725</v>
      </c>
    </row>
    <row r="9" spans="1:9">
      <c r="A9" s="39"/>
      <c r="B9" s="35"/>
      <c r="C9" s="35" t="str">
        <f>'LC for SE'!A7</f>
        <v>精煤</v>
      </c>
      <c r="D9" s="415">
        <f>'LC for SE'!B7</f>
        <v>0.08</v>
      </c>
      <c r="E9" s="39"/>
      <c r="F9" s="35"/>
      <c r="G9" s="35"/>
      <c r="H9" s="40"/>
    </row>
    <row r="10" spans="1:9">
      <c r="A10" s="39"/>
      <c r="B10" s="35"/>
      <c r="C10" s="35" t="str">
        <f>'LC for SE'!A8</f>
        <v>精制天然气</v>
      </c>
      <c r="D10" s="415">
        <f>'LC for SE'!B8</f>
        <v>5.0000000000000001E-3</v>
      </c>
      <c r="E10" s="39" t="str">
        <f>C20</f>
        <v>LCA-CO2</v>
      </c>
      <c r="F10" s="35">
        <f>D20</f>
        <v>6.0533287026988605</v>
      </c>
      <c r="G10" s="35">
        <f>D39</f>
        <v>1.0975320952123442</v>
      </c>
      <c r="H10" s="40">
        <f>'LC factor'!H7</f>
        <v>81.641999999999996</v>
      </c>
      <c r="I10">
        <f>SUM(F10:H10)</f>
        <v>88.792860797911203</v>
      </c>
    </row>
    <row r="11" spans="1:9">
      <c r="A11" s="39"/>
      <c r="B11" s="35"/>
      <c r="C11" s="35" t="str">
        <f>'LC for SE'!A9</f>
        <v>柴油</v>
      </c>
      <c r="D11" s="415">
        <f>'LC for SE'!B9</f>
        <v>0.03</v>
      </c>
      <c r="E11" s="39" t="str">
        <f t="shared" ref="E11:F13" si="1">C21</f>
        <v>LCA-CH4</v>
      </c>
      <c r="F11" s="35">
        <f t="shared" si="1"/>
        <v>0.43477861743910329</v>
      </c>
      <c r="G11" s="35">
        <f>D40</f>
        <v>1.2238302104649644E-3</v>
      </c>
      <c r="H11" s="40">
        <f>'LC factor'!I7</f>
        <v>1E-3</v>
      </c>
      <c r="I11">
        <f>SUM(F11:H11)</f>
        <v>0.43700244764956825</v>
      </c>
    </row>
    <row r="12" spans="1:9">
      <c r="A12" s="39"/>
      <c r="B12" s="35"/>
      <c r="C12" s="35" t="str">
        <f>'LC for SE'!A10</f>
        <v>汽油</v>
      </c>
      <c r="D12" s="415">
        <f>'LC for SE'!B10</f>
        <v>0</v>
      </c>
      <c r="E12" s="39" t="str">
        <f t="shared" si="1"/>
        <v>LCA-N2O</v>
      </c>
      <c r="F12" s="35">
        <f t="shared" si="1"/>
        <v>1.3112150681692555E-4</v>
      </c>
      <c r="G12" s="35">
        <f>D41</f>
        <v>2.5124989099783849E-4</v>
      </c>
      <c r="H12" s="40">
        <f>'LC factor'!J7</f>
        <v>1E-3</v>
      </c>
      <c r="I12">
        <f>SUM(F12:H12)</f>
        <v>1.3823713978147641E-3</v>
      </c>
    </row>
    <row r="13" spans="1:9" ht="15" thickBot="1">
      <c r="A13" s="39"/>
      <c r="B13" s="35"/>
      <c r="C13" s="35" t="str">
        <f>'LC for SE'!A11</f>
        <v>燃料油</v>
      </c>
      <c r="D13" s="415">
        <f>'LC for SE'!B11</f>
        <v>0</v>
      </c>
      <c r="E13" s="39" t="str">
        <f t="shared" si="1"/>
        <v>LCA-GHG</v>
      </c>
      <c r="F13" s="405">
        <f>(F10+F11*25+F12*0.298)</f>
        <v>16.922833212885475</v>
      </c>
      <c r="G13" s="405">
        <f t="shared" ref="G13:H13" si="2">(G10+G11*25+G12*0.298)</f>
        <v>1.1282027229414855</v>
      </c>
      <c r="H13" s="405">
        <f t="shared" si="2"/>
        <v>81.667298000000002</v>
      </c>
      <c r="I13" s="418">
        <f>SUM(F13:H13)</f>
        <v>99.718333935826962</v>
      </c>
    </row>
    <row r="14" spans="1:9">
      <c r="A14" s="39"/>
      <c r="B14" s="35"/>
      <c r="C14" s="35" t="str">
        <f>'LC for SE'!A12</f>
        <v>电力</v>
      </c>
      <c r="D14" s="415">
        <f>'LC for SE'!B12</f>
        <v>0.15</v>
      </c>
      <c r="F14" s="427">
        <f>F13/I13</f>
        <v>0.16970633728975101</v>
      </c>
      <c r="G14" s="427">
        <f>G13/I13</f>
        <v>1.1313894631127036E-2</v>
      </c>
      <c r="H14" s="427">
        <f>H13/I13</f>
        <v>0.81897976807912198</v>
      </c>
    </row>
    <row r="15" spans="1:9">
      <c r="A15" s="39"/>
      <c r="B15" s="407" t="s">
        <v>522</v>
      </c>
      <c r="C15" s="35" t="str">
        <f>'NG-based'!H13</f>
        <v>LCA-Coal</v>
      </c>
      <c r="D15" s="40">
        <f>SUMPRODUCT(D6:D14,'LC factor'!B4:B12)*(1/C5-1)</f>
        <v>7.0244550443909357E-2</v>
      </c>
    </row>
    <row r="16" spans="1:9">
      <c r="A16" s="39"/>
      <c r="B16" s="35"/>
      <c r="C16" s="35" t="str">
        <f>'NG-based'!H14</f>
        <v>LCA-NG</v>
      </c>
      <c r="D16" s="40">
        <f>SUMPRODUCT(D6:D14,'LC factor'!C4:C12)*(1/C5-1)</f>
        <v>2.0890782889716659E-3</v>
      </c>
    </row>
    <row r="17" spans="1:6">
      <c r="A17" s="39"/>
      <c r="B17" s="35"/>
      <c r="C17" s="35" t="str">
        <f>'NG-based'!H15</f>
        <v>LCA-Oil</v>
      </c>
      <c r="D17" s="40">
        <f>SUMPRODUCT(D6:D14,'LC factor'!D4:D12)*(1/C5-1)</f>
        <v>2.7428274248171747E-3</v>
      </c>
    </row>
    <row r="18" spans="1:6">
      <c r="A18" s="39"/>
      <c r="B18" s="35"/>
      <c r="C18" s="35" t="str">
        <f>'NG-based'!H16</f>
        <v>LCA-PE</v>
      </c>
      <c r="D18" s="409">
        <f>D15+D16+D17</f>
        <v>7.5076456157698188E-2</v>
      </c>
    </row>
    <row r="19" spans="1:6" ht="30.6">
      <c r="A19" s="39"/>
      <c r="B19" s="35"/>
      <c r="C19" s="35"/>
      <c r="D19" s="40"/>
      <c r="F19" s="538"/>
    </row>
    <row r="20" spans="1:6">
      <c r="A20" s="39"/>
      <c r="B20" s="35"/>
      <c r="C20" s="35" t="str">
        <f>'NG-based'!H18</f>
        <v>LCA-CO2</v>
      </c>
      <c r="D20" s="40">
        <f>SUMPRODUCT(D6:D14,'LC factor'!L4:L12)*(1/C5-1)</f>
        <v>6.0533287026988605</v>
      </c>
    </row>
    <row r="21" spans="1:6">
      <c r="A21" s="39"/>
      <c r="B21" s="35"/>
      <c r="C21" s="35" t="str">
        <f>'NG-based'!H19</f>
        <v>LCA-CH4</v>
      </c>
      <c r="D21" s="40">
        <f>SUMPRODUCT(D6:D14,'LC factor'!M4:M12)*(1/C5-1)+0.406</f>
        <v>0.43477861743910329</v>
      </c>
    </row>
    <row r="22" spans="1:6">
      <c r="A22" s="39"/>
      <c r="B22" s="35"/>
      <c r="C22" s="35" t="str">
        <f>'NG-based'!H20</f>
        <v>LCA-N2O</v>
      </c>
      <c r="D22" s="40">
        <f>SUMPRODUCT(D6:D14,'LC factor'!N4:N12)*(1/C5-1)</f>
        <v>1.3112150681692555E-4</v>
      </c>
    </row>
    <row r="23" spans="1:6" ht="15" thickBot="1">
      <c r="A23" s="39"/>
      <c r="B23" s="35"/>
      <c r="C23" s="35" t="str">
        <f>'NG-based'!H21</f>
        <v>LCA-GHG</v>
      </c>
      <c r="D23" s="405">
        <f>(D20+D21*25+D22*0.298)</f>
        <v>16.922833212885475</v>
      </c>
    </row>
    <row r="24" spans="1:6">
      <c r="A24" s="406" t="s">
        <v>563</v>
      </c>
      <c r="B24" s="411" t="s">
        <v>524</v>
      </c>
      <c r="C24" s="412">
        <f>'LC for SE'!P6/100</f>
        <v>0.9890000000000001</v>
      </c>
      <c r="D24" s="38"/>
    </row>
    <row r="25" spans="1:6">
      <c r="A25" s="39"/>
      <c r="B25" s="407" t="s">
        <v>521</v>
      </c>
      <c r="C25" s="35" t="str">
        <f>C6</f>
        <v>原煤</v>
      </c>
      <c r="D25" s="408">
        <f>'LC for SE'!C15</f>
        <v>0</v>
      </c>
    </row>
    <row r="26" spans="1:6">
      <c r="A26" s="39"/>
      <c r="B26" s="35"/>
      <c r="C26" s="35" t="str">
        <f t="shared" ref="C26:C33" si="3">C7</f>
        <v>原始天然气</v>
      </c>
      <c r="D26" s="408">
        <f>'LC for SE'!C16</f>
        <v>0</v>
      </c>
    </row>
    <row r="27" spans="1:6">
      <c r="A27" s="39"/>
      <c r="B27" s="35"/>
      <c r="C27" s="35" t="str">
        <f t="shared" si="3"/>
        <v>原油</v>
      </c>
      <c r="D27" s="408">
        <f>'LC for SE'!C17</f>
        <v>0</v>
      </c>
    </row>
    <row r="28" spans="1:6">
      <c r="A28" s="39"/>
      <c r="B28" s="35"/>
      <c r="C28" s="35" t="str">
        <f t="shared" si="3"/>
        <v>精煤</v>
      </c>
      <c r="D28" s="408">
        <f>'LC for SE'!C18</f>
        <v>0</v>
      </c>
    </row>
    <row r="29" spans="1:6">
      <c r="A29" s="39"/>
      <c r="B29" s="35"/>
      <c r="C29" s="35" t="str">
        <f t="shared" si="3"/>
        <v>精制天然气</v>
      </c>
      <c r="D29" s="408">
        <f>'LC for SE'!C19</f>
        <v>0</v>
      </c>
    </row>
    <row r="30" spans="1:6">
      <c r="A30" s="39"/>
      <c r="B30" s="35"/>
      <c r="C30" s="35" t="str">
        <f t="shared" si="3"/>
        <v>柴油</v>
      </c>
      <c r="D30" s="408">
        <f>'LC for SE'!C20</f>
        <v>0.78</v>
      </c>
    </row>
    <row r="31" spans="1:6">
      <c r="A31" s="39"/>
      <c r="B31" s="35"/>
      <c r="C31" s="35" t="str">
        <f t="shared" si="3"/>
        <v>汽油</v>
      </c>
      <c r="D31" s="408">
        <f>'LC for SE'!C21</f>
        <v>0.08</v>
      </c>
    </row>
    <row r="32" spans="1:6">
      <c r="A32" s="39"/>
      <c r="B32" s="35"/>
      <c r="C32" s="35" t="str">
        <f t="shared" si="3"/>
        <v>燃料油</v>
      </c>
      <c r="D32" s="408">
        <f>'LC for SE'!C22</f>
        <v>0.08</v>
      </c>
    </row>
    <row r="33" spans="1:4">
      <c r="A33" s="39"/>
      <c r="B33" s="35"/>
      <c r="C33" s="35" t="str">
        <f t="shared" si="3"/>
        <v>电力</v>
      </c>
      <c r="D33" s="408">
        <f>'LC for SE'!C23</f>
        <v>0.06</v>
      </c>
    </row>
    <row r="34" spans="1:4">
      <c r="A34" s="39"/>
      <c r="B34" s="407" t="s">
        <v>522</v>
      </c>
      <c r="C34" s="35" t="str">
        <f>C15</f>
        <v>LCA-Coal</v>
      </c>
      <c r="D34" s="40">
        <f>SUMPRODUCT(D25:D33,'LC factor'!B4:B12)*(1/C24-1)</f>
        <v>2.3506538253191479E-3</v>
      </c>
    </row>
    <row r="35" spans="1:4">
      <c r="A35" s="39"/>
      <c r="B35" s="35"/>
      <c r="C35" s="35" t="str">
        <f>C16</f>
        <v>LCA-NG</v>
      </c>
      <c r="D35" s="40">
        <f>SUMPRODUCT(D25:D33,'LC factor'!C4:C12)*(1/C24-1)</f>
        <v>6.3940305030923841E-4</v>
      </c>
    </row>
    <row r="36" spans="1:4">
      <c r="A36" s="39"/>
      <c r="B36" s="35"/>
      <c r="C36" s="35" t="str">
        <f>C17</f>
        <v>LCA-Oil</v>
      </c>
      <c r="D36" s="40">
        <f>SUMPRODUCT(D25:D33,'LC factor'!D4:D12)*(1/C24-1)</f>
        <v>1.2006075120946069E-2</v>
      </c>
    </row>
    <row r="37" spans="1:4">
      <c r="A37" s="39"/>
      <c r="B37" s="35"/>
      <c r="C37" s="35" t="str">
        <f>C18</f>
        <v>LCA-PE</v>
      </c>
      <c r="D37" s="409">
        <f>D34+D35+D36</f>
        <v>1.4996131996574454E-2</v>
      </c>
    </row>
    <row r="38" spans="1:4">
      <c r="A38" s="39"/>
      <c r="B38" s="35"/>
      <c r="C38" s="35"/>
      <c r="D38" s="40"/>
    </row>
    <row r="39" spans="1:4">
      <c r="A39" s="39"/>
      <c r="B39" s="35"/>
      <c r="C39" s="35" t="str">
        <f>C20</f>
        <v>LCA-CO2</v>
      </c>
      <c r="D39" s="40">
        <f>SUMPRODUCT(D25:D33,'LC factor'!L4:L12)*(1/C24-1)</f>
        <v>1.0975320952123442</v>
      </c>
    </row>
    <row r="40" spans="1:4">
      <c r="A40" s="39"/>
      <c r="B40" s="35"/>
      <c r="C40" s="35" t="str">
        <f>C21</f>
        <v>LCA-CH4</v>
      </c>
      <c r="D40" s="40">
        <f>SUMPRODUCT(D25:D33,'LC factor'!M4:M12)*(1/C24-1)</f>
        <v>1.2238302104649644E-3</v>
      </c>
    </row>
    <row r="41" spans="1:4">
      <c r="A41" s="39"/>
      <c r="B41" s="35"/>
      <c r="C41" s="35" t="str">
        <f>C22</f>
        <v>LCA-N2O</v>
      </c>
      <c r="D41" s="40">
        <f>SUMPRODUCT(D25:D33,'LC factor'!N4:N12)*(1/C24-1)</f>
        <v>2.5124989099783849E-4</v>
      </c>
    </row>
    <row r="42" spans="1:4" ht="15" thickBot="1">
      <c r="A42" s="41"/>
      <c r="B42" s="42"/>
      <c r="C42" s="42" t="str">
        <f>C23</f>
        <v>LCA-GHG</v>
      </c>
      <c r="D42" s="405">
        <f>(D39+D40*25+D41*0.298)</f>
        <v>1.1282027229414855</v>
      </c>
    </row>
  </sheetData>
  <phoneticPr fontId="3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7"/>
  <sheetViews>
    <sheetView topLeftCell="A22" workbookViewId="0">
      <pane xSplit="1" topLeftCell="B1" activePane="topRight" state="frozen"/>
      <selection activeCell="C4" sqref="C4"/>
      <selection pane="topRight" activeCell="D16" sqref="D16"/>
    </sheetView>
  </sheetViews>
  <sheetFormatPr defaultRowHeight="14.4"/>
  <cols>
    <col min="1" max="1" width="18.44140625" customWidth="1"/>
    <col min="4" max="4" width="27.33203125" customWidth="1"/>
    <col min="5" max="5" width="12.44140625" bestFit="1" customWidth="1"/>
    <col min="6" max="6" width="13.88671875" bestFit="1" customWidth="1"/>
    <col min="7" max="7" width="12.44140625" bestFit="1" customWidth="1"/>
    <col min="8" max="8" width="13.88671875" bestFit="1" customWidth="1"/>
    <col min="11" max="11" width="10.44140625" bestFit="1" customWidth="1"/>
    <col min="12" max="12" width="10.77734375" customWidth="1"/>
  </cols>
  <sheetData>
    <row r="2" spans="1:18">
      <c r="B2" s="33"/>
      <c r="C2" s="33"/>
      <c r="D2" s="33"/>
    </row>
    <row r="3" spans="1:18">
      <c r="A3" s="728" t="s">
        <v>79</v>
      </c>
      <c r="C3" s="34"/>
      <c r="D3" s="34"/>
    </row>
    <row r="4" spans="1:18" ht="15" thickBot="1">
      <c r="A4" s="728"/>
      <c r="B4" s="34" t="s">
        <v>16</v>
      </c>
      <c r="C4" s="34">
        <v>40.700000000000003</v>
      </c>
      <c r="D4" s="441">
        <v>49.3</v>
      </c>
    </row>
    <row r="5" spans="1:18">
      <c r="E5" s="36" t="s">
        <v>46</v>
      </c>
      <c r="F5" s="37"/>
      <c r="G5" s="37"/>
      <c r="H5" s="37"/>
      <c r="I5" s="38"/>
      <c r="J5" s="36" t="s">
        <v>48</v>
      </c>
      <c r="K5" s="37"/>
      <c r="L5" s="38"/>
      <c r="M5" s="36" t="s">
        <v>50</v>
      </c>
      <c r="N5" s="37" t="s">
        <v>50</v>
      </c>
      <c r="O5" s="38" t="s">
        <v>52</v>
      </c>
      <c r="P5" s="36"/>
      <c r="Q5" s="38"/>
      <c r="R5" s="360" t="s">
        <v>430</v>
      </c>
    </row>
    <row r="6" spans="1:18">
      <c r="E6" s="39" t="s">
        <v>26</v>
      </c>
      <c r="F6" s="35" t="s">
        <v>30</v>
      </c>
      <c r="G6" s="35" t="s">
        <v>31</v>
      </c>
      <c r="H6" s="35" t="s">
        <v>32</v>
      </c>
      <c r="I6" s="40" t="s">
        <v>28</v>
      </c>
      <c r="J6" s="39" t="s">
        <v>61</v>
      </c>
      <c r="K6" s="507" t="s">
        <v>34</v>
      </c>
      <c r="L6" s="40" t="s">
        <v>36</v>
      </c>
      <c r="M6" s="39" t="s">
        <v>39</v>
      </c>
      <c r="N6" s="35" t="s">
        <v>43</v>
      </c>
      <c r="O6" s="40" t="s">
        <v>45</v>
      </c>
      <c r="P6" s="39" t="s">
        <v>54</v>
      </c>
      <c r="Q6" s="40" t="s">
        <v>74</v>
      </c>
    </row>
    <row r="7" spans="1:18" ht="15" thickBot="1">
      <c r="E7" s="41"/>
      <c r="F7" s="42"/>
      <c r="G7" s="42"/>
      <c r="H7" s="42"/>
      <c r="I7" s="43"/>
      <c r="J7" s="41"/>
      <c r="K7" s="42"/>
      <c r="L7" s="43"/>
      <c r="M7" s="41"/>
      <c r="N7" s="42"/>
      <c r="O7" s="43"/>
      <c r="P7" s="41"/>
      <c r="Q7" s="43"/>
    </row>
    <row r="8" spans="1:18">
      <c r="A8" s="32" t="s">
        <v>91</v>
      </c>
      <c r="B8" t="s">
        <v>24</v>
      </c>
      <c r="C8" t="s">
        <v>25</v>
      </c>
      <c r="D8" s="20">
        <f>1000*100/C4</f>
        <v>2457.002457002457</v>
      </c>
      <c r="E8" s="20">
        <f>D8</f>
        <v>2457.002457002457</v>
      </c>
      <c r="F8" s="20">
        <f>D14</f>
        <v>0.51650816709968717</v>
      </c>
      <c r="G8" s="20">
        <f>D15</f>
        <v>0</v>
      </c>
      <c r="H8" s="20">
        <f>D16</f>
        <v>3.6591859249569119</v>
      </c>
      <c r="I8" s="20">
        <f>D9+D17</f>
        <v>0.84653858994676257</v>
      </c>
      <c r="J8">
        <f>(E8*'LC factor'!G15+CtL!F8*'LC factor'!I15+CtL!G8*'LC factor'!J15+CtL!H8*'LC factor'!K15+CtL!I8*'LC factor'!L15)/1000</f>
        <v>2.6376538521150565</v>
      </c>
      <c r="K8">
        <f>(E8*'LC factor'!G16+CtL!F8*'LC factor'!I16+CtL!G8*'LC factor'!J16+CtL!H8*'LC factor'!K16+CtL!I8*'LC factor'!L16)/1000</f>
        <v>7.051317584928548E-3</v>
      </c>
      <c r="L8">
        <f>(E8*'LC factor'!G17+CtL!F8*'LC factor'!I17+CtL!G8*'LC factor'!J17+CtL!H8*'LC factor'!K17+CtL!I8*'LC factor'!L17)/1000</f>
        <v>4.1109677830514037E-2</v>
      </c>
      <c r="M8">
        <f>(E8*'LC factor'!G18+CtL!F7*'LC factor'!I18+CtL!G8*'LC factor'!J18+CtL!H8*'LC factor'!K18+CtL!I8*'LC factor'!L18)/1000</f>
        <v>218.67487782956454</v>
      </c>
      <c r="N8">
        <f>(E8*'LC factor'!G19+CtL!F8*'LC factor'!I19+CtL!G8*'LC factor'!J19+CtL!H8*'LC factor'!K19+CtL!I8*'LC factor'!L19)/1000</f>
        <v>1.074724643341886</v>
      </c>
      <c r="O8">
        <f>(E8*'LC factor'!G20+CtL!F8*'LC factor'!I31+CtL!G8*'LC factor'!J20+CtL!H8*'LC factor'!K20+CtL!I8*'LC factor'!L20)/1000</f>
        <v>3.4006708874144563E-3</v>
      </c>
      <c r="P8">
        <f>M8+N8*25+O8*0.298</f>
        <v>245.54400731303613</v>
      </c>
      <c r="Q8">
        <f>J8+K8+L8</f>
        <v>2.6858148475304993</v>
      </c>
      <c r="R8">
        <f>1/Q8*100</f>
        <v>37.232648442593145</v>
      </c>
    </row>
    <row r="9" spans="1:18">
      <c r="C9" t="s">
        <v>27</v>
      </c>
      <c r="L9" t="s">
        <v>415</v>
      </c>
      <c r="M9">
        <v>-74</v>
      </c>
    </row>
    <row r="14" spans="1:18">
      <c r="B14" t="s">
        <v>29</v>
      </c>
      <c r="C14" t="s">
        <v>5</v>
      </c>
      <c r="D14">
        <f>'T&amp;D'!C5</f>
        <v>0.51650816709968717</v>
      </c>
      <c r="L14" t="s">
        <v>70</v>
      </c>
      <c r="M14">
        <f>D8*('LC factor'!L7-'LC factor'!E7)/1000+M9</f>
        <v>126.59459459459458</v>
      </c>
    </row>
    <row r="15" spans="1:18">
      <c r="C15" t="s">
        <v>6</v>
      </c>
      <c r="D15">
        <f>0</f>
        <v>0</v>
      </c>
    </row>
    <row r="16" spans="1:18">
      <c r="C16" t="s">
        <v>7</v>
      </c>
      <c r="D16">
        <f>'T&amp;D'!C6</f>
        <v>3.6591859249569119</v>
      </c>
    </row>
    <row r="17" spans="1:19">
      <c r="C17" t="s">
        <v>8</v>
      </c>
      <c r="D17">
        <f>'T&amp;D'!C7</f>
        <v>0.84653858994676257</v>
      </c>
    </row>
    <row r="18" spans="1:19">
      <c r="A18" s="437" t="s">
        <v>92</v>
      </c>
      <c r="B18" s="438" t="s">
        <v>24</v>
      </c>
      <c r="C18" s="438" t="s">
        <v>25</v>
      </c>
      <c r="D18" s="439">
        <f>1000*100/D4</f>
        <v>2028.3975659229211</v>
      </c>
      <c r="E18" s="439">
        <f>D18</f>
        <v>2028.3975659229211</v>
      </c>
      <c r="F18" s="439">
        <f>D20</f>
        <v>0.51650816709968717</v>
      </c>
      <c r="G18" s="439">
        <f>D21</f>
        <v>0</v>
      </c>
      <c r="H18" s="20">
        <f>D22</f>
        <v>3.6591859249569119</v>
      </c>
      <c r="I18" s="20">
        <f>D19+D23</f>
        <v>0.84653858994676257</v>
      </c>
      <c r="J18">
        <f>(E18*'LC factor'!G15+CtL!F18*'LC factor'!I15+CtL!G18*'LC factor'!J15+CtL!H18*'LC factor'!K15+CtL!I18*'LC factor'!L15)/1000</f>
        <v>2.1779343014168115</v>
      </c>
      <c r="K18">
        <f>(E18*'LC factor'!G16+CtL!F18*'LC factor'!I16+CtL!G18*'LC factor'!J16+CtL!H18*'LC factor'!K16+CtL!I18*'LC factor'!L16)/1000</f>
        <v>5.8818771376935326E-3</v>
      </c>
      <c r="L18">
        <f>(E18*'LC factor'!G17+CtL!F18*'LC factor'!I17+CtL!G18*'LC factor'!J17+CtL!H18*'LC factor'!K17+CtL!I18*'LC factor'!L17)/1000</f>
        <v>3.4788226061344345E-2</v>
      </c>
      <c r="M18">
        <f>(E18*'LC factor'!G18+F18*'LC factor'!I18+CtL!G18*'LC factor'!J18+CtL!H18*'LC factor'!K18+CtL!I18*'LC factor'!L18)/1000</f>
        <v>180.66528892074814</v>
      </c>
      <c r="N18">
        <f>(E18*'LC factor'!G19+CtL!F18*'LC factor'!I19+CtL!G18*'LC factor'!J19+CtL!H18*'LC factor'!K19+CtL!I18*'LC factor'!L19)/1000</f>
        <v>0.88742325686555201</v>
      </c>
      <c r="O18">
        <f>(E18*'LC factor'!G20+CtL!F18*'LC factor'!I20+CtL!G18*'LC factor'!J20+CtL!H18*'LC factor'!K20+CtL!I18*'LC factor'!L20)/1000</f>
        <v>2.822857713494234E-3</v>
      </c>
      <c r="P18">
        <f>M18+N18*25+O18*0.298</f>
        <v>202.85171155398555</v>
      </c>
      <c r="Q18">
        <f>J18+K18+L18</f>
        <v>2.2186044046158493</v>
      </c>
    </row>
    <row r="19" spans="1:19">
      <c r="A19" s="438"/>
      <c r="B19" s="438"/>
      <c r="C19" s="438" t="s">
        <v>27</v>
      </c>
      <c r="D19" s="438"/>
      <c r="E19" s="438"/>
      <c r="F19" s="438"/>
      <c r="G19" s="438"/>
      <c r="L19" t="s">
        <v>69</v>
      </c>
      <c r="M19">
        <v>-74.3</v>
      </c>
    </row>
    <row r="20" spans="1:19">
      <c r="A20" s="438"/>
      <c r="B20" s="438" t="s">
        <v>29</v>
      </c>
      <c r="C20" s="438" t="s">
        <v>5</v>
      </c>
      <c r="D20" s="439">
        <f>D14</f>
        <v>0.51650816709968717</v>
      </c>
      <c r="E20" s="438"/>
      <c r="F20" s="438"/>
      <c r="G20" s="438"/>
      <c r="L20" t="s">
        <v>70</v>
      </c>
      <c r="M20">
        <f>D18*('LC factor'!L7-'LC factor'!E7)/1000+M19</f>
        <v>91.302434077079127</v>
      </c>
    </row>
    <row r="21" spans="1:19">
      <c r="A21" s="438"/>
      <c r="B21" s="438"/>
      <c r="C21" s="438" t="s">
        <v>6</v>
      </c>
      <c r="D21" s="439">
        <f>D15</f>
        <v>0</v>
      </c>
      <c r="E21" s="438"/>
      <c r="F21" s="438"/>
      <c r="G21" s="438"/>
      <c r="M21" s="26"/>
    </row>
    <row r="22" spans="1:19">
      <c r="A22" s="438"/>
      <c r="B22" s="438"/>
      <c r="C22" s="438" t="s">
        <v>7</v>
      </c>
      <c r="D22" s="439">
        <f>D16</f>
        <v>3.6591859249569119</v>
      </c>
      <c r="E22" s="438"/>
      <c r="F22" s="438"/>
      <c r="G22" s="438"/>
      <c r="M22" s="26"/>
    </row>
    <row r="23" spans="1:19">
      <c r="A23" s="438"/>
      <c r="B23" s="438"/>
      <c r="C23" s="438" t="s">
        <v>8</v>
      </c>
      <c r="D23" s="439">
        <f>D17</f>
        <v>0.84653858994676257</v>
      </c>
      <c r="E23" s="438"/>
      <c r="F23" s="438"/>
      <c r="G23" s="438"/>
    </row>
    <row r="27" spans="1:19">
      <c r="D27" s="58" t="str">
        <f>Coal!F2</f>
        <v>原煤开采处理</v>
      </c>
      <c r="E27" s="58" t="str">
        <f>Coal!G2</f>
        <v>煤炭运输</v>
      </c>
      <c r="F27" s="57" t="s">
        <v>591</v>
      </c>
      <c r="G27" s="57" t="s">
        <v>592</v>
      </c>
      <c r="H27" s="57" t="s">
        <v>593</v>
      </c>
      <c r="I27" s="57" t="s">
        <v>614</v>
      </c>
    </row>
    <row r="28" spans="1:19">
      <c r="D28" s="508">
        <f>Coal!F13*CtL!$D$18/1000</f>
        <v>34.326233697536466</v>
      </c>
      <c r="E28" s="508">
        <f>Coal!G13*CtL!$D$18/1000</f>
        <v>2.2884436570821207</v>
      </c>
      <c r="F28" s="510">
        <f>Coal!H13*CtL!$D$18/1000+M19</f>
        <v>91.35374847870186</v>
      </c>
      <c r="G28" s="508">
        <f>'Oil-based'!I13</f>
        <v>0.58328572066619533</v>
      </c>
      <c r="H28" s="510">
        <f>-M19</f>
        <v>74.3</v>
      </c>
      <c r="I28" s="508">
        <f>SUM(D28:H28)</f>
        <v>202.85171155398666</v>
      </c>
      <c r="K28" s="107"/>
      <c r="L28" s="108"/>
      <c r="M28" s="108"/>
      <c r="N28" s="108" t="s">
        <v>1039</v>
      </c>
      <c r="O28" s="108" t="s">
        <v>1040</v>
      </c>
      <c r="P28" s="108" t="s">
        <v>1041</v>
      </c>
      <c r="Q28" s="108" t="s">
        <v>1042</v>
      </c>
      <c r="R28" s="108" t="s">
        <v>1043</v>
      </c>
      <c r="S28" s="467" t="s">
        <v>1034</v>
      </c>
    </row>
    <row r="29" spans="1:19">
      <c r="D29" s="509">
        <f>D28/I28</f>
        <v>0.16921835874380056</v>
      </c>
      <c r="E29" s="509">
        <f>E28/I28</f>
        <v>1.1281362328920146E-2</v>
      </c>
      <c r="F29" s="509">
        <f>F28/I28</f>
        <v>0.45034743744022643</v>
      </c>
      <c r="G29" s="509">
        <f>G28/I28</f>
        <v>2.875429130953921E-3</v>
      </c>
      <c r="H29" s="509">
        <f>H28/I28</f>
        <v>0.36627741235609884</v>
      </c>
      <c r="I29" s="58"/>
      <c r="K29" s="93" t="s">
        <v>1017</v>
      </c>
      <c r="L29" s="35" t="s">
        <v>1018</v>
      </c>
      <c r="M29" s="35" t="s">
        <v>4</v>
      </c>
      <c r="N29" s="35">
        <f>Coal!F5/CtL!$D$4*100</f>
        <v>0.14248387513977556</v>
      </c>
      <c r="O29" s="35">
        <f>Coal!G5/CtL!$D$4*100</f>
        <v>4.7680604976047631E-3</v>
      </c>
      <c r="P29" s="35">
        <f>Coal!H5/CtL!$D$4*100-1</f>
        <v>1.028397565922921</v>
      </c>
      <c r="Q29" s="35">
        <f>'Oil-based'!I5</f>
        <v>2.2847998565108316E-3</v>
      </c>
      <c r="R29" s="35">
        <v>1</v>
      </c>
      <c r="S29" s="84">
        <f>SUM(N29:R29)</f>
        <v>2.177934301416812</v>
      </c>
    </row>
    <row r="30" spans="1:19">
      <c r="K30" s="93" t="s">
        <v>1019</v>
      </c>
      <c r="L30" s="35" t="s">
        <v>1020</v>
      </c>
      <c r="M30" s="35" t="s">
        <v>4</v>
      </c>
      <c r="N30" s="35">
        <f>Coal!F6/CtL!$D$4*100</f>
        <v>4.2374813163725484E-3</v>
      </c>
      <c r="O30" s="35">
        <f>Coal!G6/CtL!$D$4*100</f>
        <v>1.29696359089095E-3</v>
      </c>
      <c r="P30" s="35">
        <f>Coal!H6/CtL!$D$4*100</f>
        <v>0</v>
      </c>
      <c r="Q30" s="35">
        <f>'Oil-based'!I6</f>
        <v>3.4743223043014068E-4</v>
      </c>
      <c r="R30" s="35">
        <v>0</v>
      </c>
      <c r="S30" s="84">
        <f t="shared" ref="S30:S32" si="0">SUM(N30:R30)</f>
        <v>5.8818771376936392E-3</v>
      </c>
    </row>
    <row r="31" spans="1:19">
      <c r="K31" s="93" t="s">
        <v>1021</v>
      </c>
      <c r="L31" s="35" t="s">
        <v>1022</v>
      </c>
      <c r="M31" s="35" t="s">
        <v>4</v>
      </c>
      <c r="N31" s="35">
        <f>Coal!F7/CtL!$D$4*100</f>
        <v>5.5635444722457903E-3</v>
      </c>
      <c r="O31" s="35">
        <f>Coal!G7/CtL!$D$4*100</f>
        <v>2.4353093551614746E-2</v>
      </c>
      <c r="P31" s="35">
        <f>Coal!H7/CtL!$D$4*100</f>
        <v>0</v>
      </c>
      <c r="Q31" s="35">
        <f>'Oil-based'!I7</f>
        <v>4.6863196254656658E-3</v>
      </c>
      <c r="R31" s="35">
        <v>0</v>
      </c>
      <c r="S31" s="84">
        <f t="shared" si="0"/>
        <v>3.4602957649326201E-2</v>
      </c>
    </row>
    <row r="32" spans="1:19">
      <c r="K32" s="93" t="s">
        <v>1023</v>
      </c>
      <c r="L32" s="35" t="s">
        <v>1024</v>
      </c>
      <c r="M32" s="35" t="s">
        <v>4</v>
      </c>
      <c r="N32" s="35">
        <f>Coal!F8/CtL!$D$4*100</f>
        <v>0.15228490092839389</v>
      </c>
      <c r="O32" s="35">
        <f>Coal!G8/CtL!$D$4*100</f>
        <v>3.0418117640110456E-2</v>
      </c>
      <c r="P32" s="35">
        <f>Coal!H8/CtL!$D$4*100-1</f>
        <v>1.028397565922921</v>
      </c>
      <c r="Q32" s="35">
        <f>'Oil-based'!I8</f>
        <v>7.3185517124066384E-3</v>
      </c>
      <c r="R32" s="35">
        <f>R29+R30+R31</f>
        <v>1</v>
      </c>
      <c r="S32" s="84">
        <f t="shared" si="0"/>
        <v>2.2184191362038321</v>
      </c>
    </row>
    <row r="33" spans="11:19">
      <c r="K33" s="93"/>
      <c r="L33" s="35"/>
      <c r="M33" s="35"/>
      <c r="N33" s="35"/>
      <c r="O33" s="35"/>
      <c r="P33" s="35"/>
      <c r="Q33" s="35"/>
      <c r="R33" s="35"/>
      <c r="S33" s="84"/>
    </row>
    <row r="34" spans="11:19">
      <c r="K34" s="93" t="s">
        <v>1025</v>
      </c>
      <c r="L34" s="35" t="s">
        <v>1026</v>
      </c>
      <c r="M34" s="35" t="s">
        <v>9</v>
      </c>
      <c r="N34" s="35">
        <f>Coal!F10/CtL!$D$4*100</f>
        <v>12.278557206285722</v>
      </c>
      <c r="O34" s="35">
        <f>Coal!G10/CtL!$D$4*100</f>
        <v>2.2262314304510027</v>
      </c>
      <c r="P34" s="35">
        <f>Coal!H10/CtL!$D$4*100-R34</f>
        <v>91.302434077079099</v>
      </c>
      <c r="Q34" s="35">
        <f>'Oil-based'!I10</f>
        <v>0.55806620693335285</v>
      </c>
      <c r="R34" s="380">
        <f>H28</f>
        <v>74.3</v>
      </c>
      <c r="S34" s="84">
        <f>SUM(N34:R34)</f>
        <v>180.66528892074916</v>
      </c>
    </row>
    <row r="35" spans="11:19">
      <c r="K35" s="93" t="s">
        <v>1027</v>
      </c>
      <c r="L35" s="35" t="s">
        <v>1028</v>
      </c>
      <c r="M35" s="35" t="s">
        <v>9</v>
      </c>
      <c r="N35" s="35">
        <f>Coal!F11/CtL!$D$4*100</f>
        <v>0.88190388932880992</v>
      </c>
      <c r="O35" s="35">
        <f>Coal!G11/CtL!$D$4*100</f>
        <v>2.4824142200100697E-3</v>
      </c>
      <c r="P35" s="35">
        <f>Coal!H11/CtL!$D$4*100</f>
        <v>2.0283975659229213E-3</v>
      </c>
      <c r="Q35" s="35">
        <f>'Oil-based'!I11</f>
        <v>1.0085557508089156E-3</v>
      </c>
      <c r="R35" s="35">
        <v>0</v>
      </c>
      <c r="S35" s="84">
        <f t="shared" ref="S35:S37" si="1">SUM(N35:R35)</f>
        <v>0.88742325686555179</v>
      </c>
    </row>
    <row r="36" spans="11:19">
      <c r="K36" s="93" t="s">
        <v>1029</v>
      </c>
      <c r="L36" s="35" t="s">
        <v>1030</v>
      </c>
      <c r="M36" s="35" t="s">
        <v>10</v>
      </c>
      <c r="N36" s="35">
        <f>Coal!F12/CtL!$D$4*100</f>
        <v>2.6596654526759748E-4</v>
      </c>
      <c r="O36" s="35">
        <f>Coal!G12/CtL!$D$4*100</f>
        <v>5.096346673384148E-4</v>
      </c>
      <c r="P36" s="35">
        <f>Coal!H12/CtL!$D$4*100</f>
        <v>2.0283975659229213E-3</v>
      </c>
      <c r="Q36" s="35">
        <f>'Oil-based'!I12</f>
        <v>1.8858934965282446E-5</v>
      </c>
      <c r="R36" s="35">
        <v>0</v>
      </c>
      <c r="S36" s="84">
        <f t="shared" si="1"/>
        <v>2.8228577134942158E-3</v>
      </c>
    </row>
    <row r="37" spans="11:19">
      <c r="K37" s="101" t="s">
        <v>1031</v>
      </c>
      <c r="L37" s="102" t="s">
        <v>1032</v>
      </c>
      <c r="M37" s="102" t="s">
        <v>9</v>
      </c>
      <c r="N37" s="102">
        <f>Coal!F13/CtL!$D$4*100</f>
        <v>34.326233697536459</v>
      </c>
      <c r="O37" s="102">
        <f>Coal!G13/CtL!$D$4*100</f>
        <v>2.2884436570821207</v>
      </c>
      <c r="P37" s="102">
        <f>Coal!H13/CtL!$D$4*100-R37</f>
        <v>91.35374847870186</v>
      </c>
      <c r="Q37" s="102">
        <f>'Oil-based'!I13</f>
        <v>0.58328572066619533</v>
      </c>
      <c r="R37" s="102">
        <f>R34+R35+R36</f>
        <v>74.3</v>
      </c>
      <c r="S37" s="471">
        <f t="shared" si="1"/>
        <v>202.8517115539866</v>
      </c>
    </row>
  </sheetData>
  <mergeCells count="1">
    <mergeCell ref="A3:A4"/>
  </mergeCells>
  <phoneticPr fontId="9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0</xdr:row>
                <xdr:rowOff>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5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266700</xdr:colOff>
                <xdr:row>2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5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266700</xdr:colOff>
                <xdr:row>2</xdr:row>
                <xdr:rowOff>0</xdr:rowOff>
              </to>
            </anchor>
          </objectPr>
        </oleObject>
      </mc:Choice>
      <mc:Fallback>
        <oleObject progId="Equation.DSMT4" shapeId="2051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37</vt:i4>
      </vt:variant>
      <vt:variant>
        <vt:lpstr>命名范围</vt:lpstr>
      </vt:variant>
      <vt:variant>
        <vt:i4>2</vt:i4>
      </vt:variant>
    </vt:vector>
  </HeadingPairs>
  <TitlesOfParts>
    <vt:vector size="39" baseType="lpstr">
      <vt:lpstr>Overview</vt:lpstr>
      <vt:lpstr>Key Input</vt:lpstr>
      <vt:lpstr>vehicle summary</vt:lpstr>
      <vt:lpstr>fuel summary</vt:lpstr>
      <vt:lpstr>NG-based</vt:lpstr>
      <vt:lpstr>NG-based (+1)</vt:lpstr>
      <vt:lpstr>NG-based (+2)</vt:lpstr>
      <vt:lpstr>Coal</vt:lpstr>
      <vt:lpstr>CtL</vt:lpstr>
      <vt:lpstr>CtL(CCS)</vt:lpstr>
      <vt:lpstr>Oil-based</vt:lpstr>
      <vt:lpstr>GridE</vt:lpstr>
      <vt:lpstr>LC for SE</vt:lpstr>
      <vt:lpstr>LC factor</vt:lpstr>
      <vt:lpstr>T&amp;D</vt:lpstr>
      <vt:lpstr>Overview (商用)</vt:lpstr>
      <vt:lpstr>Key Input (商用)</vt:lpstr>
      <vt:lpstr>LNG商用车结果 </vt:lpstr>
      <vt:lpstr>LNG船用结果</vt:lpstr>
      <vt:lpstr>PTW( for chart)</vt:lpstr>
      <vt:lpstr>WTP&amp;WTW (for chart)</vt:lpstr>
      <vt:lpstr>NG-based (chart)</vt:lpstr>
      <vt:lpstr>Biofuel(chart)</vt:lpstr>
      <vt:lpstr>Coal-based(chart)</vt:lpstr>
      <vt:lpstr>EV(chart)</vt:lpstr>
      <vt:lpstr>total(chart)</vt:lpstr>
      <vt:lpstr>CtE(CCS)</vt:lpstr>
      <vt:lpstr>SNG(CCS)</vt:lpstr>
      <vt:lpstr>WTPs</vt:lpstr>
      <vt:lpstr>Vehicle</vt:lpstr>
      <vt:lpstr>WTW-micro EV</vt:lpstr>
      <vt:lpstr>WTW-small EV</vt:lpstr>
      <vt:lpstr>WTW -small-ctl n SNG v</vt:lpstr>
      <vt:lpstr>CO2 t&amp;s</vt:lpstr>
      <vt:lpstr>Water</vt:lpstr>
      <vt:lpstr>PV</vt:lpstr>
      <vt:lpstr>PV data</vt:lpstr>
      <vt:lpstr>'Key Input (商用)'!_ftn1</vt:lpstr>
      <vt:lpstr>'Key Input (商用)'!_ftnref1</vt:lpstr>
    </vt:vector>
  </TitlesOfParts>
  <Company>Tsinghua Uni.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 Xunmin</dc:creator>
  <cp:lastModifiedBy>Xunmin OU</cp:lastModifiedBy>
  <cp:lastPrinted>2010-03-31T07:24:41Z</cp:lastPrinted>
  <dcterms:created xsi:type="dcterms:W3CDTF">2009-11-12T03:19:42Z</dcterms:created>
  <dcterms:modified xsi:type="dcterms:W3CDTF">2014-04-21T08:30:01Z</dcterms:modified>
</cp:coreProperties>
</file>