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embeddings/oleObject8.bin" ContentType="application/vnd.openxmlformats-officedocument.oleObject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omments8.xml" ContentType="application/vnd.openxmlformats-officedocument.spreadsheetml.comment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embeddings/oleObject4.bin" ContentType="application/vnd.openxmlformats-officedocument.oleObject"/>
  <Override PartName="/xl/embeddings/oleObject10.bin" ContentType="application/vnd.openxmlformats-officedocument.oleObject"/>
  <Override PartName="/xl/drawings/drawing17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drawings/drawing13.xml" ContentType="application/vnd.openxmlformats-officedocument.drawing+xml"/>
  <Override PartName="/xl/charts/chart56.xml" ContentType="application/vnd.openxmlformats-officedocument.drawingml.chart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drawings/drawing20.xml" ContentType="application/vnd.openxmlformats-officedocument.drawing+xml"/>
  <Override PartName="/xl/charts/chart63.xml" ContentType="application/vnd.openxmlformats-officedocument.drawingml.char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embeddings/oleObject9.bin" ContentType="application/vnd.openxmlformats-officedocument.oleObject"/>
  <Override PartName="/xl/charts/chart41.xml" ContentType="application/vnd.openxmlformats-officedocument.drawingml.chart+xml"/>
  <Override PartName="/xl/comments10.xml" ContentType="application/vnd.openxmlformats-officedocument.spreadsheetml.comments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embeddings/oleObject5.bin" ContentType="application/vnd.openxmlformats-officedocument.oleObject"/>
  <Override PartName="/xl/comments9.xml" ContentType="application/vnd.openxmlformats-officedocument.spreadsheetml.comments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embeddings/oleObject11.bin" ContentType="application/vnd.openxmlformats-officedocument.oleObject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omments5.xml" ContentType="application/vnd.openxmlformats-officedocument.spreadsheetml.comments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drawings/drawing16.xml" ContentType="application/vnd.openxmlformats-officedocument.drawing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omments3.xml" ContentType="application/vnd.openxmlformats-officedocument.spreadsheetml.comments+xml"/>
  <Override PartName="/xl/charts/chart37.xml" ContentType="application/vnd.openxmlformats-officedocument.drawingml.chart+xml"/>
  <Override PartName="/xl/drawings/drawing14.xml" ContentType="application/vnd.openxmlformats-officedocument.drawing+xml"/>
  <Override PartName="/xl/charts/chart46.xml" ContentType="application/vnd.openxmlformats-officedocument.drawingml.chart+xml"/>
  <Override PartName="/xl/charts/chart55.xml" ContentType="application/vnd.openxmlformats-officedocument.drawingml.chart+xml"/>
  <Default Extension="vml" ContentType="application/vnd.openxmlformats-officedocument.vmlDrawing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omments13.xml" ContentType="application/vnd.openxmlformats-officedocument.spreadsheetml.comments+xml"/>
  <Override PartName="/xl/charts/chart62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xl/comments11.xml" ContentType="application/vnd.openxmlformats-officedocument.spreadsheetml.comments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embeddings/oleObject6.bin" ContentType="application/vnd.openxmlformats-officedocument.oleObject"/>
  <Override PartName="/xl/embeddings/oleObject12.bin" ContentType="application/vnd.openxmlformats-officedocument.oleObject"/>
  <Override PartName="/xl/drawings/drawing19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wmf" ContentType="image/x-wmf"/>
  <Override PartName="/xl/comments6.xml" ContentType="application/vnd.openxmlformats-officedocument.spreadsheetml.comments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embeddings/oleObject2.bin" ContentType="application/vnd.openxmlformats-officedocument.oleObject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omments2.xml" ContentType="application/vnd.openxmlformats-officedocument.spreadsheetml.comments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54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omments12.xml" ContentType="application/vnd.openxmlformats-officedocument.spreadsheetml.comments+xml"/>
  <Override PartName="/xl/charts/chart61.xml" ContentType="application/vnd.openxmlformats-officedocument.drawingml.chart+xml"/>
  <Override PartName="/xl/worksheets/sheet27.xml" ContentType="application/vnd.openxmlformats-officedocument.spreadsheetml.workshee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embeddings/oleObject7.bin" ContentType="application/vnd.openxmlformats-officedocument.oleObject"/>
  <Override PartName="/xl/worksheets/sheet23.xml" ContentType="application/vnd.openxmlformats-officedocument.spreadsheetml.worksheet+xml"/>
  <Override PartName="/xl/embeddings/oleObject13.bin" ContentType="application/vnd.openxmlformats-officedocument.oleObject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embeddings/oleObject3.bin" ContentType="application/vnd.openxmlformats-officedocument.oleObject"/>
  <Default Extension="jpeg" ContentType="image/jpeg"/>
  <Override PartName="/xl/comments7.xml" ContentType="application/vnd.openxmlformats-officedocument.spreadsheetml.comments+xml"/>
  <Override PartName="/xl/charts/chart59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170" windowWidth="12510" windowHeight="8085" tabRatio="830" activeTab="2"/>
  </bookViews>
  <sheets>
    <sheet name="Overview" sheetId="23" r:id="rId1"/>
    <sheet name="Key Input" sheetId="29" r:id="rId2"/>
    <sheet name="vehicle summary" sheetId="45" r:id="rId3"/>
    <sheet name="fuel summary" sheetId="30" r:id="rId4"/>
    <sheet name="NG-based" sheetId="25" r:id="rId5"/>
    <sheet name="NG-based (+1)" sheetId="31" r:id="rId6"/>
    <sheet name="NG-based (+2)" sheetId="32" r:id="rId7"/>
    <sheet name="Coal" sheetId="27" r:id="rId8"/>
    <sheet name="CtL" sheetId="3" r:id="rId9"/>
    <sheet name="CtL(CCS)" sheetId="7" r:id="rId10"/>
    <sheet name="Oil-based" sheetId="26" r:id="rId11"/>
    <sheet name="GridE" sheetId="21" r:id="rId12"/>
    <sheet name="LC for SE" sheetId="24" r:id="rId13"/>
    <sheet name="LC factor" sheetId="1" r:id="rId14"/>
    <sheet name="T&amp;D" sheetId="2" r:id="rId15"/>
    <sheet name="Overview (商用)" sheetId="33" r:id="rId16"/>
    <sheet name="Key Input (商用)" sheetId="34" r:id="rId17"/>
    <sheet name="LNG商用车结果 " sheetId="36" r:id="rId18"/>
    <sheet name="LNG船用结果" sheetId="37" r:id="rId19"/>
    <sheet name="PTW" sheetId="42" state="hidden" r:id="rId20"/>
    <sheet name="WTP&amp;WTW" sheetId="43" r:id="rId21"/>
    <sheet name="NG-based (2)" sheetId="38" state="hidden" r:id="rId22"/>
    <sheet name="Biofuel" sheetId="39" state="hidden" r:id="rId23"/>
    <sheet name="Coal-based" sheetId="40" state="hidden" r:id="rId24"/>
    <sheet name="EV" sheetId="41" state="hidden" r:id="rId25"/>
    <sheet name="total" sheetId="35" state="hidden" r:id="rId26"/>
    <sheet name="CtE(CCS)" sheetId="4" state="hidden" r:id="rId27"/>
    <sheet name="SNG(CCS)" sheetId="13" state="hidden" r:id="rId28"/>
    <sheet name="WTPs" sheetId="14" state="hidden" r:id="rId29"/>
    <sheet name="Vehicle" sheetId="5" state="hidden" r:id="rId30"/>
    <sheet name="WTW-micro EV" sheetId="15" state="hidden" r:id="rId31"/>
    <sheet name="WTW-small EV" sheetId="22" state="hidden" r:id="rId32"/>
    <sheet name="WTW -small-ctl n SNG v" sheetId="16" state="hidden" r:id="rId33"/>
    <sheet name="CO2 t&amp;s" sheetId="20" state="hidden" r:id="rId34"/>
    <sheet name="Water" sheetId="17" state="hidden" r:id="rId35"/>
    <sheet name="PV" sheetId="18" state="hidden" r:id="rId36"/>
    <sheet name="PV data" sheetId="19" state="hidden" r:id="rId37"/>
  </sheets>
  <definedNames>
    <definedName name="_ftn1" localSheetId="16">'Key Input (商用)'!$E$20</definedName>
    <definedName name="_ftnref1" localSheetId="16">'Key Input (商用)'!$E$16</definedName>
    <definedName name="solver_adj" localSheetId="12" hidden="1">'LC for SE'!$O$17:$O$25,'LC for SE'!$R$17:$R$25,'LC for SE'!$U$17:$U$25,'LC for SE'!$Y$17:$Y$25,'LC for SE'!$AB$17:$AB$25,'LC for SE'!$AE$17:$AE$25</definedName>
    <definedName name="solver_cvg" localSheetId="12" hidden="1">0.0001</definedName>
    <definedName name="solver_drv" localSheetId="12" hidden="1">2</definedName>
    <definedName name="solver_eng" localSheetId="12" hidden="1">2</definedName>
    <definedName name="solver_est" localSheetId="12" hidden="1">1</definedName>
    <definedName name="solver_itr" localSheetId="12" hidden="1">2147483647</definedName>
    <definedName name="solver_lhs1" localSheetId="12" hidden="1">'LC for SE'!$AC$17:$AC$25</definedName>
    <definedName name="solver_lhs2" localSheetId="12" hidden="1">'LC for SE'!$AF$17:$AF$25</definedName>
    <definedName name="solver_lhs3" localSheetId="12" hidden="1">'LC for SE'!$P$17:$P$25</definedName>
    <definedName name="solver_lhs4" localSheetId="12" hidden="1">'LC for SE'!$S$17:$S$25</definedName>
    <definedName name="solver_lhs5" localSheetId="12" hidden="1">'LC for SE'!$V$17:$V$25</definedName>
    <definedName name="solver_lhs6" localSheetId="12" hidden="1">'LC for SE'!$Z$17:$Z$25</definedName>
    <definedName name="solver_mip" localSheetId="12" hidden="1">2147483647</definedName>
    <definedName name="solver_mni" localSheetId="12" hidden="1">30</definedName>
    <definedName name="solver_mrt" localSheetId="12" hidden="1">0.075</definedName>
    <definedName name="solver_msl" localSheetId="12" hidden="1">2</definedName>
    <definedName name="solver_neg" localSheetId="12" hidden="1">2</definedName>
    <definedName name="solver_nod" localSheetId="12" hidden="1">2147483647</definedName>
    <definedName name="solver_num" localSheetId="12" hidden="1">6</definedName>
    <definedName name="solver_nwt" localSheetId="12" hidden="1">1</definedName>
    <definedName name="solver_pre" localSheetId="12" hidden="1">0.000001</definedName>
    <definedName name="solver_rbv" localSheetId="12" hidden="1">2</definedName>
    <definedName name="solver_rel1" localSheetId="12" hidden="1">2</definedName>
    <definedName name="solver_rel2" localSheetId="12" hidden="1">2</definedName>
    <definedName name="solver_rel3" localSheetId="12" hidden="1">2</definedName>
    <definedName name="solver_rel4" localSheetId="12" hidden="1">2</definedName>
    <definedName name="solver_rel5" localSheetId="12" hidden="1">2</definedName>
    <definedName name="solver_rel6" localSheetId="12" hidden="1">2</definedName>
    <definedName name="solver_rhs1" localSheetId="12" hidden="1">'LC for SE'!$AH$17:$AH$25</definedName>
    <definedName name="solver_rhs2" localSheetId="12" hidden="1">'LC for SE'!$AH$17:$AH$25</definedName>
    <definedName name="solver_rhs3" localSheetId="12" hidden="1">'LC for SE'!$AH$17:$AH$25</definedName>
    <definedName name="solver_rhs4" localSheetId="12" hidden="1">'LC for SE'!$AH$17:$AH$25</definedName>
    <definedName name="solver_rhs5" localSheetId="12" hidden="1">'LC for SE'!$AH$17:$AH$25</definedName>
    <definedName name="solver_rhs6" localSheetId="12" hidden="1">'LC for SE'!$AH$17:$AH$25</definedName>
    <definedName name="solver_rlx" localSheetId="12" hidden="1">2</definedName>
    <definedName name="solver_rsd" localSheetId="12" hidden="1">0</definedName>
    <definedName name="solver_scl" localSheetId="12" hidden="1">2</definedName>
    <definedName name="solver_sho" localSheetId="12" hidden="1">2</definedName>
    <definedName name="solver_ssz" localSheetId="12" hidden="1">100</definedName>
    <definedName name="solver_tim" localSheetId="12" hidden="1">2147483647</definedName>
    <definedName name="solver_tol" localSheetId="12" hidden="1">0.01</definedName>
    <definedName name="solver_typ" localSheetId="12" hidden="1">3</definedName>
    <definedName name="solver_val" localSheetId="12" hidden="1">0</definedName>
    <definedName name="solver_ver" localSheetId="12" hidden="1">3</definedName>
  </definedNames>
  <calcPr calcId="124519"/>
</workbook>
</file>

<file path=xl/calcChain.xml><?xml version="1.0" encoding="utf-8"?>
<calcChain xmlns="http://schemas.openxmlformats.org/spreadsheetml/2006/main">
  <c r="J5" i="45"/>
  <c r="I3"/>
  <c r="O29" i="3"/>
  <c r="P29"/>
  <c r="P8"/>
  <c r="E8"/>
  <c r="D8"/>
  <c r="D7" i="2"/>
  <c r="D5"/>
  <c r="C9"/>
  <c r="D59" i="26"/>
  <c r="D58"/>
  <c r="D57"/>
  <c r="D38"/>
  <c r="D37"/>
  <c r="D36"/>
  <c r="D19"/>
  <c r="D18"/>
  <c r="D17"/>
  <c r="J7" i="25"/>
  <c r="V18" i="24"/>
  <c r="V22"/>
  <c r="AC25"/>
  <c r="K7" i="25"/>
  <c r="G8" i="1"/>
  <c r="D9" i="21"/>
  <c r="W13" i="24"/>
  <c r="C7" i="26"/>
  <c r="H3" i="45"/>
  <c r="B6" i="36" l="1"/>
  <c r="B5"/>
  <c r="B4"/>
  <c r="B6" i="37"/>
  <c r="B5"/>
  <c r="B4"/>
  <c r="J44" i="30" l="1"/>
  <c r="E10" i="38"/>
  <c r="E9"/>
  <c r="E8"/>
  <c r="H10"/>
  <c r="H9"/>
  <c r="H8"/>
  <c r="G10"/>
  <c r="G9"/>
  <c r="G8"/>
  <c r="D10"/>
  <c r="D9"/>
  <c r="D8"/>
  <c r="C10"/>
  <c r="C9"/>
  <c r="C8"/>
  <c r="F10"/>
  <c r="F9"/>
  <c r="F8"/>
  <c r="I166" i="45" l="1"/>
  <c r="I165"/>
  <c r="I164"/>
  <c r="I163"/>
  <c r="D150"/>
  <c r="C153"/>
  <c r="C155"/>
  <c r="C156"/>
  <c r="C160"/>
  <c r="C161"/>
  <c r="C163"/>
  <c r="C152"/>
  <c r="B6" i="34" l="1"/>
  <c r="A139" i="45"/>
  <c r="D166" s="1"/>
  <c r="A138"/>
  <c r="A127"/>
  <c r="D165" s="1"/>
  <c r="A126"/>
  <c r="A115"/>
  <c r="D164" s="1"/>
  <c r="A114"/>
  <c r="D147"/>
  <c r="C147"/>
  <c r="D146"/>
  <c r="C146"/>
  <c r="D145"/>
  <c r="C145"/>
  <c r="D144"/>
  <c r="C144"/>
  <c r="D142"/>
  <c r="C142"/>
  <c r="D141"/>
  <c r="C141"/>
  <c r="D140"/>
  <c r="C140"/>
  <c r="D139"/>
  <c r="C139"/>
  <c r="J138"/>
  <c r="G138"/>
  <c r="F138"/>
  <c r="E138"/>
  <c r="D135"/>
  <c r="C135"/>
  <c r="D134"/>
  <c r="C134"/>
  <c r="D133"/>
  <c r="C133"/>
  <c r="D132"/>
  <c r="C132"/>
  <c r="D130"/>
  <c r="C130"/>
  <c r="D129"/>
  <c r="C129"/>
  <c r="D128"/>
  <c r="C128"/>
  <c r="D127"/>
  <c r="C127"/>
  <c r="J126"/>
  <c r="G126"/>
  <c r="F126"/>
  <c r="E126"/>
  <c r="D123"/>
  <c r="C123"/>
  <c r="D122"/>
  <c r="C122"/>
  <c r="D121"/>
  <c r="C121"/>
  <c r="D120"/>
  <c r="C120"/>
  <c r="D118"/>
  <c r="C118"/>
  <c r="D117"/>
  <c r="C117"/>
  <c r="D116"/>
  <c r="C116"/>
  <c r="D115"/>
  <c r="C115"/>
  <c r="J114"/>
  <c r="G114"/>
  <c r="F114"/>
  <c r="E114"/>
  <c r="F102"/>
  <c r="G102"/>
  <c r="J102"/>
  <c r="E102"/>
  <c r="A103"/>
  <c r="D163" s="1"/>
  <c r="D111"/>
  <c r="C111"/>
  <c r="D110"/>
  <c r="C110"/>
  <c r="D109"/>
  <c r="C109"/>
  <c r="D108"/>
  <c r="C108"/>
  <c r="D106"/>
  <c r="C106"/>
  <c r="D105"/>
  <c r="C105"/>
  <c r="D104"/>
  <c r="C104"/>
  <c r="D103"/>
  <c r="C103"/>
  <c r="A102"/>
  <c r="A91"/>
  <c r="D161" s="1"/>
  <c r="A80"/>
  <c r="D160" s="1"/>
  <c r="F90"/>
  <c r="G90"/>
  <c r="H90"/>
  <c r="I90"/>
  <c r="J90"/>
  <c r="E90"/>
  <c r="A90"/>
  <c r="D99"/>
  <c r="C99"/>
  <c r="D98"/>
  <c r="C98"/>
  <c r="D97"/>
  <c r="C97"/>
  <c r="D96"/>
  <c r="C96"/>
  <c r="D94"/>
  <c r="C94"/>
  <c r="D93"/>
  <c r="C93"/>
  <c r="D92"/>
  <c r="C92"/>
  <c r="D91"/>
  <c r="C91"/>
  <c r="F79"/>
  <c r="G79"/>
  <c r="H79"/>
  <c r="I79"/>
  <c r="J79"/>
  <c r="E79"/>
  <c r="D88"/>
  <c r="C88"/>
  <c r="D87"/>
  <c r="C87"/>
  <c r="D86"/>
  <c r="C86"/>
  <c r="D85"/>
  <c r="C85"/>
  <c r="D83"/>
  <c r="C83"/>
  <c r="D82"/>
  <c r="C82"/>
  <c r="D81"/>
  <c r="C81"/>
  <c r="D80"/>
  <c r="C80"/>
  <c r="A79"/>
  <c r="F68"/>
  <c r="G68"/>
  <c r="H68"/>
  <c r="I68"/>
  <c r="J68"/>
  <c r="E68"/>
  <c r="G57"/>
  <c r="H57"/>
  <c r="I57"/>
  <c r="J57"/>
  <c r="E57"/>
  <c r="A69"/>
  <c r="D158" s="1"/>
  <c r="D77"/>
  <c r="C77"/>
  <c r="D76"/>
  <c r="C76"/>
  <c r="D75"/>
  <c r="C75"/>
  <c r="D74"/>
  <c r="C74"/>
  <c r="D72"/>
  <c r="C72"/>
  <c r="D71"/>
  <c r="C71"/>
  <c r="D70"/>
  <c r="C70"/>
  <c r="D69"/>
  <c r="C69"/>
  <c r="A58"/>
  <c r="D157" s="1"/>
  <c r="D66"/>
  <c r="C66"/>
  <c r="D65"/>
  <c r="C65"/>
  <c r="D64"/>
  <c r="C64"/>
  <c r="D63"/>
  <c r="C63"/>
  <c r="D61"/>
  <c r="C61"/>
  <c r="D60"/>
  <c r="C60"/>
  <c r="D59"/>
  <c r="C59"/>
  <c r="D58"/>
  <c r="C58"/>
  <c r="A47"/>
  <c r="D156" s="1"/>
  <c r="F46"/>
  <c r="G46"/>
  <c r="H46"/>
  <c r="O46" s="1"/>
  <c r="I46"/>
  <c r="P46" s="1"/>
  <c r="J46"/>
  <c r="Q46" s="1"/>
  <c r="E46"/>
  <c r="D55"/>
  <c r="C55"/>
  <c r="D54"/>
  <c r="C54"/>
  <c r="D53"/>
  <c r="C53"/>
  <c r="D52"/>
  <c r="C52"/>
  <c r="D50"/>
  <c r="C50"/>
  <c r="D49"/>
  <c r="C49"/>
  <c r="D48"/>
  <c r="C48"/>
  <c r="D47"/>
  <c r="C47"/>
  <c r="F35"/>
  <c r="G35"/>
  <c r="H35"/>
  <c r="I35"/>
  <c r="J35"/>
  <c r="E35"/>
  <c r="D44"/>
  <c r="C44"/>
  <c r="D43"/>
  <c r="C43"/>
  <c r="D42"/>
  <c r="C42"/>
  <c r="D41"/>
  <c r="C41"/>
  <c r="D39"/>
  <c r="C39"/>
  <c r="D38"/>
  <c r="C38"/>
  <c r="D37"/>
  <c r="C37"/>
  <c r="D36"/>
  <c r="C36"/>
  <c r="A35"/>
  <c r="F24"/>
  <c r="G24"/>
  <c r="H24"/>
  <c r="I24"/>
  <c r="J24"/>
  <c r="E24"/>
  <c r="C25"/>
  <c r="D25"/>
  <c r="C26"/>
  <c r="D26"/>
  <c r="C27"/>
  <c r="D27"/>
  <c r="C28"/>
  <c r="D28"/>
  <c r="C30"/>
  <c r="D30"/>
  <c r="C31"/>
  <c r="D31"/>
  <c r="C32"/>
  <c r="D32"/>
  <c r="C33"/>
  <c r="D33"/>
  <c r="J13"/>
  <c r="F13"/>
  <c r="G13"/>
  <c r="H13"/>
  <c r="I13"/>
  <c r="E13"/>
  <c r="B21"/>
  <c r="B32" s="1"/>
  <c r="B43" s="1"/>
  <c r="B54" s="1"/>
  <c r="B65" s="1"/>
  <c r="B76" s="1"/>
  <c r="B87" s="1"/>
  <c r="B98" s="1"/>
  <c r="B110" s="1"/>
  <c r="B122" s="1"/>
  <c r="B134" s="1"/>
  <c r="B146" s="1"/>
  <c r="B22"/>
  <c r="B14"/>
  <c r="B25" s="1"/>
  <c r="B36" s="1"/>
  <c r="B47" s="1"/>
  <c r="B58" s="1"/>
  <c r="B69" s="1"/>
  <c r="B80" s="1"/>
  <c r="B91" s="1"/>
  <c r="B103" s="1"/>
  <c r="B115" s="1"/>
  <c r="B127" s="1"/>
  <c r="B139" s="1"/>
  <c r="B15"/>
  <c r="B26" s="1"/>
  <c r="B37" s="1"/>
  <c r="B48" s="1"/>
  <c r="B59" s="1"/>
  <c r="B70" s="1"/>
  <c r="B81" s="1"/>
  <c r="B92" s="1"/>
  <c r="B104" s="1"/>
  <c r="B116" s="1"/>
  <c r="B128" s="1"/>
  <c r="B140" s="1"/>
  <c r="B16"/>
  <c r="B27" s="1"/>
  <c r="B38" s="1"/>
  <c r="B49" s="1"/>
  <c r="B60" s="1"/>
  <c r="B71" s="1"/>
  <c r="B82" s="1"/>
  <c r="B93" s="1"/>
  <c r="B105" s="1"/>
  <c r="B117" s="1"/>
  <c r="B129" s="1"/>
  <c r="B141" s="1"/>
  <c r="B17"/>
  <c r="B28" s="1"/>
  <c r="B39" s="1"/>
  <c r="B50" s="1"/>
  <c r="B61" s="1"/>
  <c r="B72" s="1"/>
  <c r="B83" s="1"/>
  <c r="B94" s="1"/>
  <c r="B106" s="1"/>
  <c r="B118" s="1"/>
  <c r="B130" s="1"/>
  <c r="B142" s="1"/>
  <c r="B19"/>
  <c r="B30" s="1"/>
  <c r="B41" s="1"/>
  <c r="B52" s="1"/>
  <c r="B63" s="1"/>
  <c r="B74" s="1"/>
  <c r="B85" s="1"/>
  <c r="B96" s="1"/>
  <c r="B108" s="1"/>
  <c r="B120" s="1"/>
  <c r="B132" s="1"/>
  <c r="B144" s="1"/>
  <c r="B20"/>
  <c r="B31" s="1"/>
  <c r="B42" s="1"/>
  <c r="B53" s="1"/>
  <c r="B64" s="1"/>
  <c r="B75" s="1"/>
  <c r="B86" s="1"/>
  <c r="B97" s="1"/>
  <c r="B109" s="1"/>
  <c r="B121" s="1"/>
  <c r="B133" s="1"/>
  <c r="B145" s="1"/>
  <c r="C7"/>
  <c r="B7" s="1"/>
  <c r="B9"/>
  <c r="C9" s="1"/>
  <c r="C6"/>
  <c r="C5"/>
  <c r="B5" s="1"/>
  <c r="C4"/>
  <c r="C8" s="1"/>
  <c r="B8" s="1"/>
  <c r="D8"/>
  <c r="E8"/>
  <c r="G3"/>
  <c r="F3" s="1"/>
  <c r="C3"/>
  <c r="H3" i="42"/>
  <c r="D5"/>
  <c r="D9"/>
  <c r="E25" i="29"/>
  <c r="O31"/>
  <c r="O27"/>
  <c r="N24"/>
  <c r="N29" s="1"/>
  <c r="K25" s="1"/>
  <c r="I187" i="30"/>
  <c r="I186"/>
  <c r="I185"/>
  <c r="I182"/>
  <c r="I183" s="1"/>
  <c r="I181"/>
  <c r="I180"/>
  <c r="B33" i="45" l="1"/>
  <c r="B44" s="1"/>
  <c r="B55" s="1"/>
  <c r="B66" s="1"/>
  <c r="B77" s="1"/>
  <c r="B88" s="1"/>
  <c r="B99" s="1"/>
  <c r="B111" s="1"/>
  <c r="B123" s="1"/>
  <c r="B135" s="1"/>
  <c r="B147" s="1"/>
  <c r="C150"/>
  <c r="F5"/>
  <c r="F6"/>
  <c r="F8"/>
  <c r="G8" s="1"/>
  <c r="F4"/>
  <c r="G9"/>
  <c r="F7"/>
  <c r="G7" s="1"/>
  <c r="B6"/>
  <c r="I188" i="30"/>
  <c r="I9" i="21"/>
  <c r="O12" i="1"/>
  <c r="D54" i="21"/>
  <c r="E54"/>
  <c r="I54"/>
  <c r="A62"/>
  <c r="A63"/>
  <c r="A56"/>
  <c r="A57"/>
  <c r="A58"/>
  <c r="A60"/>
  <c r="A61"/>
  <c r="A55"/>
  <c r="D173" i="30"/>
  <c r="D185" s="1"/>
  <c r="D168"/>
  <c r="D180" s="1"/>
  <c r="D158"/>
  <c r="D170" s="1"/>
  <c r="D182" s="1"/>
  <c r="D156"/>
  <c r="C164"/>
  <c r="C176" s="1"/>
  <c r="C188" s="1"/>
  <c r="D163"/>
  <c r="D175" s="1"/>
  <c r="D187" s="1"/>
  <c r="D161"/>
  <c r="B162"/>
  <c r="B174" s="1"/>
  <c r="B186" s="1"/>
  <c r="C152"/>
  <c r="D152"/>
  <c r="D164" s="1"/>
  <c r="D176" s="1"/>
  <c r="D188" s="1"/>
  <c r="B152"/>
  <c r="B164" s="1"/>
  <c r="B176" s="1"/>
  <c r="B188" s="1"/>
  <c r="G143"/>
  <c r="G155" s="1"/>
  <c r="G167" s="1"/>
  <c r="G179" s="1"/>
  <c r="F143"/>
  <c r="F155" s="1"/>
  <c r="F167" s="1"/>
  <c r="F179" s="1"/>
  <c r="E143"/>
  <c r="E155" s="1"/>
  <c r="E167" s="1"/>
  <c r="E179" s="1"/>
  <c r="I143"/>
  <c r="I155" s="1"/>
  <c r="I167" s="1"/>
  <c r="I179" s="1"/>
  <c r="C144"/>
  <c r="C156" s="1"/>
  <c r="C168" s="1"/>
  <c r="C180" s="1"/>
  <c r="D144"/>
  <c r="C145"/>
  <c r="C157" s="1"/>
  <c r="C169" s="1"/>
  <c r="C181" s="1"/>
  <c r="D145"/>
  <c r="D157" s="1"/>
  <c r="D169" s="1"/>
  <c r="D181" s="1"/>
  <c r="C146"/>
  <c r="C158" s="1"/>
  <c r="C170" s="1"/>
  <c r="C182" s="1"/>
  <c r="D146"/>
  <c r="C147"/>
  <c r="C159" s="1"/>
  <c r="C171" s="1"/>
  <c r="C183" s="1"/>
  <c r="D147"/>
  <c r="D159" s="1"/>
  <c r="D171" s="1"/>
  <c r="D183" s="1"/>
  <c r="C149"/>
  <c r="C161" s="1"/>
  <c r="C173" s="1"/>
  <c r="C185" s="1"/>
  <c r="D149"/>
  <c r="C150"/>
  <c r="C162" s="1"/>
  <c r="C174" s="1"/>
  <c r="C186" s="1"/>
  <c r="D150"/>
  <c r="D162" s="1"/>
  <c r="D174" s="1"/>
  <c r="D186" s="1"/>
  <c r="C151"/>
  <c r="C163" s="1"/>
  <c r="C175" s="1"/>
  <c r="C187" s="1"/>
  <c r="D151"/>
  <c r="B150"/>
  <c r="B151"/>
  <c r="B163" s="1"/>
  <c r="B175" s="1"/>
  <c r="B187" s="1"/>
  <c r="B144"/>
  <c r="B156" s="1"/>
  <c r="B168" s="1"/>
  <c r="B180" s="1"/>
  <c r="B145"/>
  <c r="B157" s="1"/>
  <c r="B169" s="1"/>
  <c r="B181" s="1"/>
  <c r="B146"/>
  <c r="B158" s="1"/>
  <c r="B170" s="1"/>
  <c r="B182" s="1"/>
  <c r="B147"/>
  <c r="B159" s="1"/>
  <c r="B171" s="1"/>
  <c r="B183" s="1"/>
  <c r="B149"/>
  <c r="B161" s="1"/>
  <c r="B173" s="1"/>
  <c r="B185" s="1"/>
  <c r="AI25" i="24"/>
  <c r="T12"/>
  <c r="T11"/>
  <c r="R13" i="21"/>
  <c r="R14"/>
  <c r="R12"/>
  <c r="Q15"/>
  <c r="I43"/>
  <c r="E43"/>
  <c r="D43"/>
  <c r="C32"/>
  <c r="C43" s="1"/>
  <c r="C54" s="1"/>
  <c r="D21"/>
  <c r="D32" s="1"/>
  <c r="E21"/>
  <c r="E32" s="1"/>
  <c r="I21"/>
  <c r="I32" s="1"/>
  <c r="C21"/>
  <c r="A49"/>
  <c r="A47"/>
  <c r="A44"/>
  <c r="A30"/>
  <c r="A41"/>
  <c r="A52" s="1"/>
  <c r="A36"/>
  <c r="A38"/>
  <c r="A39"/>
  <c r="A50" s="1"/>
  <c r="A33"/>
  <c r="A28"/>
  <c r="A29"/>
  <c r="A40" s="1"/>
  <c r="A51" s="1"/>
  <c r="A27"/>
  <c r="A25"/>
  <c r="A22"/>
  <c r="A23"/>
  <c r="A34" s="1"/>
  <c r="A45" s="1"/>
  <c r="A24"/>
  <c r="A35" s="1"/>
  <c r="A46" s="1"/>
  <c r="I253" i="30"/>
  <c r="H253"/>
  <c r="G253"/>
  <c r="F253"/>
  <c r="E253"/>
  <c r="F240"/>
  <c r="G240"/>
  <c r="H240"/>
  <c r="I240"/>
  <c r="E240"/>
  <c r="J239"/>
  <c r="J238"/>
  <c r="J237"/>
  <c r="J234"/>
  <c r="J233"/>
  <c r="J232"/>
  <c r="I235"/>
  <c r="H235"/>
  <c r="G235"/>
  <c r="F235"/>
  <c r="E235"/>
  <c r="H4" i="45" l="1"/>
  <c r="I15"/>
  <c r="H16"/>
  <c r="G17"/>
  <c r="F19"/>
  <c r="I20"/>
  <c r="H21"/>
  <c r="G22"/>
  <c r="G152" s="1"/>
  <c r="H7"/>
  <c r="H14"/>
  <c r="G15"/>
  <c r="I17"/>
  <c r="H19"/>
  <c r="G20"/>
  <c r="F21"/>
  <c r="I22"/>
  <c r="I152" s="1"/>
  <c r="H9"/>
  <c r="H5"/>
  <c r="H15"/>
  <c r="I19"/>
  <c r="G21"/>
  <c r="H6"/>
  <c r="H8"/>
  <c r="G14"/>
  <c r="H17"/>
  <c r="F20"/>
  <c r="I21"/>
  <c r="I14"/>
  <c r="G16"/>
  <c r="H20"/>
  <c r="F22"/>
  <c r="F152" s="1"/>
  <c r="I16"/>
  <c r="G19"/>
  <c r="H22"/>
  <c r="H152" s="1"/>
  <c r="J235" i="30"/>
  <c r="J240"/>
  <c r="G147" i="45" l="1"/>
  <c r="G166" s="1"/>
  <c r="G146"/>
  <c r="G145"/>
  <c r="G144"/>
  <c r="G135"/>
  <c r="G165" s="1"/>
  <c r="G134"/>
  <c r="G133"/>
  <c r="G132"/>
  <c r="G130"/>
  <c r="G129"/>
  <c r="G128"/>
  <c r="G127"/>
  <c r="G123"/>
  <c r="G164" s="1"/>
  <c r="G122"/>
  <c r="G121"/>
  <c r="G120"/>
  <c r="G118"/>
  <c r="G117"/>
  <c r="G116"/>
  <c r="G115"/>
  <c r="J147"/>
  <c r="J146"/>
  <c r="J145"/>
  <c r="E145"/>
  <c r="J142"/>
  <c r="J141"/>
  <c r="J140"/>
  <c r="J139"/>
  <c r="J123"/>
  <c r="E123"/>
  <c r="E164" s="1"/>
  <c r="J122"/>
  <c r="E122"/>
  <c r="E121"/>
  <c r="E120"/>
  <c r="E118"/>
  <c r="E117"/>
  <c r="E116"/>
  <c r="E115"/>
  <c r="F147"/>
  <c r="F166" s="1"/>
  <c r="F146"/>
  <c r="F145"/>
  <c r="F144"/>
  <c r="F135"/>
  <c r="F165" s="1"/>
  <c r="F134"/>
  <c r="F133"/>
  <c r="F132"/>
  <c r="F123"/>
  <c r="F164" s="1"/>
  <c r="F122"/>
  <c r="F121"/>
  <c r="F120"/>
  <c r="F118"/>
  <c r="F117"/>
  <c r="F116"/>
  <c r="F115"/>
  <c r="J144"/>
  <c r="J121"/>
  <c r="J120"/>
  <c r="J118"/>
  <c r="J117"/>
  <c r="J116"/>
  <c r="J115"/>
  <c r="H145"/>
  <c r="H140"/>
  <c r="H133"/>
  <c r="H128"/>
  <c r="H121"/>
  <c r="H116"/>
  <c r="H135"/>
  <c r="H165" s="1"/>
  <c r="H118"/>
  <c r="H146"/>
  <c r="H141"/>
  <c r="H134"/>
  <c r="H129"/>
  <c r="H122"/>
  <c r="H117"/>
  <c r="H147"/>
  <c r="H166" s="1"/>
  <c r="H142"/>
  <c r="H130"/>
  <c r="H123"/>
  <c r="H164" s="1"/>
  <c r="H144"/>
  <c r="H139"/>
  <c r="H132"/>
  <c r="H127"/>
  <c r="H120"/>
  <c r="H115"/>
  <c r="J99"/>
  <c r="F99"/>
  <c r="F161" s="1"/>
  <c r="H98"/>
  <c r="J97"/>
  <c r="F97"/>
  <c r="H96"/>
  <c r="F91"/>
  <c r="J91"/>
  <c r="I92"/>
  <c r="H93"/>
  <c r="G94"/>
  <c r="E92"/>
  <c r="H99"/>
  <c r="H161" s="1"/>
  <c r="J98"/>
  <c r="F98"/>
  <c r="H97"/>
  <c r="J96"/>
  <c r="F96"/>
  <c r="H91"/>
  <c r="G92"/>
  <c r="F93"/>
  <c r="J93"/>
  <c r="I94"/>
  <c r="E94"/>
  <c r="I99"/>
  <c r="I161" s="1"/>
  <c r="G98"/>
  <c r="E97"/>
  <c r="G91"/>
  <c r="J92"/>
  <c r="H94"/>
  <c r="E99"/>
  <c r="E161" s="1"/>
  <c r="I97"/>
  <c r="G96"/>
  <c r="F92"/>
  <c r="I93"/>
  <c r="E93"/>
  <c r="I98"/>
  <c r="G97"/>
  <c r="E96"/>
  <c r="H92"/>
  <c r="F94"/>
  <c r="E91"/>
  <c r="G99"/>
  <c r="G161" s="1"/>
  <c r="G93"/>
  <c r="E98"/>
  <c r="J94"/>
  <c r="I96"/>
  <c r="I91"/>
  <c r="F44"/>
  <c r="F155" s="1"/>
  <c r="J44"/>
  <c r="H43"/>
  <c r="I44"/>
  <c r="I155" s="1"/>
  <c r="G43"/>
  <c r="I42"/>
  <c r="E42"/>
  <c r="G41"/>
  <c r="G36"/>
  <c r="F37"/>
  <c r="J37"/>
  <c r="I38"/>
  <c r="H39"/>
  <c r="E38"/>
  <c r="G44"/>
  <c r="G155" s="1"/>
  <c r="J43"/>
  <c r="E43"/>
  <c r="G42"/>
  <c r="I41"/>
  <c r="E41"/>
  <c r="I36"/>
  <c r="H37"/>
  <c r="G38"/>
  <c r="F39"/>
  <c r="J39"/>
  <c r="E36"/>
  <c r="H44"/>
  <c r="H155" s="1"/>
  <c r="I43"/>
  <c r="J42"/>
  <c r="F42"/>
  <c r="H41"/>
  <c r="F36"/>
  <c r="J36"/>
  <c r="I37"/>
  <c r="H38"/>
  <c r="G39"/>
  <c r="E37"/>
  <c r="J41"/>
  <c r="F38"/>
  <c r="E44"/>
  <c r="E155" s="1"/>
  <c r="J155" s="1"/>
  <c r="F41"/>
  <c r="J38"/>
  <c r="F43"/>
  <c r="H36"/>
  <c r="I39"/>
  <c r="H42"/>
  <c r="G37"/>
  <c r="E39"/>
  <c r="H66"/>
  <c r="H157" s="1"/>
  <c r="J65"/>
  <c r="F65"/>
  <c r="H64"/>
  <c r="J63"/>
  <c r="F63"/>
  <c r="H58"/>
  <c r="G59"/>
  <c r="F60"/>
  <c r="J60"/>
  <c r="I61"/>
  <c r="E61"/>
  <c r="H77"/>
  <c r="H158" s="1"/>
  <c r="J76"/>
  <c r="F76"/>
  <c r="H75"/>
  <c r="J74"/>
  <c r="F74"/>
  <c r="H69"/>
  <c r="G70"/>
  <c r="F71"/>
  <c r="J71"/>
  <c r="I72"/>
  <c r="E72"/>
  <c r="F55"/>
  <c r="F156" s="1"/>
  <c r="J55"/>
  <c r="H54"/>
  <c r="O54" s="1"/>
  <c r="J53"/>
  <c r="F53"/>
  <c r="H52"/>
  <c r="O52" s="1"/>
  <c r="F66"/>
  <c r="F157" s="1"/>
  <c r="J66"/>
  <c r="H65"/>
  <c r="J64"/>
  <c r="F64"/>
  <c r="H63"/>
  <c r="F58"/>
  <c r="J58"/>
  <c r="I59"/>
  <c r="H60"/>
  <c r="G61"/>
  <c r="E59"/>
  <c r="F77"/>
  <c r="F158" s="1"/>
  <c r="J77"/>
  <c r="H76"/>
  <c r="J75"/>
  <c r="F75"/>
  <c r="H74"/>
  <c r="F69"/>
  <c r="J69"/>
  <c r="I70"/>
  <c r="H71"/>
  <c r="G72"/>
  <c r="E70"/>
  <c r="H55"/>
  <c r="J54"/>
  <c r="F54"/>
  <c r="H53"/>
  <c r="O53" s="1"/>
  <c r="J52"/>
  <c r="F52"/>
  <c r="H47"/>
  <c r="O47" s="1"/>
  <c r="G48"/>
  <c r="F49"/>
  <c r="J49"/>
  <c r="I50"/>
  <c r="P50" s="1"/>
  <c r="E50"/>
  <c r="E66"/>
  <c r="E157" s="1"/>
  <c r="I64"/>
  <c r="G63"/>
  <c r="F59"/>
  <c r="I60"/>
  <c r="E60"/>
  <c r="E77"/>
  <c r="E158" s="1"/>
  <c r="I75"/>
  <c r="G74"/>
  <c r="F70"/>
  <c r="I71"/>
  <c r="E71"/>
  <c r="G55"/>
  <c r="G156" s="1"/>
  <c r="G54"/>
  <c r="E53"/>
  <c r="F47"/>
  <c r="F48"/>
  <c r="G49"/>
  <c r="G50"/>
  <c r="E49"/>
  <c r="G66"/>
  <c r="G157" s="1"/>
  <c r="G65"/>
  <c r="E64"/>
  <c r="G58"/>
  <c r="J59"/>
  <c r="H61"/>
  <c r="G77"/>
  <c r="G158" s="1"/>
  <c r="G76"/>
  <c r="E75"/>
  <c r="G69"/>
  <c r="J70"/>
  <c r="H72"/>
  <c r="E55"/>
  <c r="E156" s="1"/>
  <c r="I53"/>
  <c r="P53" s="1"/>
  <c r="G52"/>
  <c r="I47"/>
  <c r="P47" s="1"/>
  <c r="I48"/>
  <c r="P48" s="1"/>
  <c r="I49"/>
  <c r="P49" s="1"/>
  <c r="J50"/>
  <c r="I66"/>
  <c r="I157" s="1"/>
  <c r="E65"/>
  <c r="I63"/>
  <c r="I58"/>
  <c r="G60"/>
  <c r="J61"/>
  <c r="I77"/>
  <c r="I158" s="1"/>
  <c r="E76"/>
  <c r="I74"/>
  <c r="I69"/>
  <c r="G71"/>
  <c r="J72"/>
  <c r="I54"/>
  <c r="P54" s="1"/>
  <c r="G53"/>
  <c r="E52"/>
  <c r="J47"/>
  <c r="J48"/>
  <c r="F50"/>
  <c r="E48"/>
  <c r="I65"/>
  <c r="F61"/>
  <c r="E74"/>
  <c r="I55"/>
  <c r="H48"/>
  <c r="O48" s="1"/>
  <c r="G64"/>
  <c r="E58"/>
  <c r="H70"/>
  <c r="E54"/>
  <c r="H49"/>
  <c r="O49" s="1"/>
  <c r="E63"/>
  <c r="I76"/>
  <c r="F72"/>
  <c r="I52"/>
  <c r="P52" s="1"/>
  <c r="H50"/>
  <c r="O50" s="1"/>
  <c r="Q50" s="1"/>
  <c r="H59"/>
  <c r="G75"/>
  <c r="E69"/>
  <c r="G47"/>
  <c r="E47"/>
  <c r="J111"/>
  <c r="E111"/>
  <c r="E163" s="1"/>
  <c r="F110"/>
  <c r="G109"/>
  <c r="H108"/>
  <c r="F103"/>
  <c r="F104"/>
  <c r="F105"/>
  <c r="F106"/>
  <c r="E104"/>
  <c r="G111"/>
  <c r="G163" s="1"/>
  <c r="H110"/>
  <c r="J109"/>
  <c r="E109"/>
  <c r="F108"/>
  <c r="H103"/>
  <c r="H104"/>
  <c r="H105"/>
  <c r="H106"/>
  <c r="E106"/>
  <c r="H111"/>
  <c r="H163" s="1"/>
  <c r="E110"/>
  <c r="G108"/>
  <c r="G104"/>
  <c r="G106"/>
  <c r="F111"/>
  <c r="F163" s="1"/>
  <c r="H109"/>
  <c r="J110"/>
  <c r="F109"/>
  <c r="G103"/>
  <c r="G105"/>
  <c r="E105"/>
  <c r="G110"/>
  <c r="J108"/>
  <c r="J103"/>
  <c r="J105"/>
  <c r="E103"/>
  <c r="E108"/>
  <c r="J104"/>
  <c r="J106"/>
  <c r="I88"/>
  <c r="I160" s="1"/>
  <c r="E88"/>
  <c r="E160" s="1"/>
  <c r="J160" s="1"/>
  <c r="G87"/>
  <c r="I86"/>
  <c r="E86"/>
  <c r="G85"/>
  <c r="G80"/>
  <c r="F81"/>
  <c r="J81"/>
  <c r="I82"/>
  <c r="H83"/>
  <c r="E82"/>
  <c r="G88"/>
  <c r="G160" s="1"/>
  <c r="I87"/>
  <c r="E87"/>
  <c r="G86"/>
  <c r="I85"/>
  <c r="E85"/>
  <c r="I80"/>
  <c r="H81"/>
  <c r="G82"/>
  <c r="F83"/>
  <c r="J83"/>
  <c r="E80"/>
  <c r="H88"/>
  <c r="H160" s="1"/>
  <c r="F87"/>
  <c r="J85"/>
  <c r="H80"/>
  <c r="F82"/>
  <c r="I83"/>
  <c r="J87"/>
  <c r="H86"/>
  <c r="F85"/>
  <c r="G81"/>
  <c r="J82"/>
  <c r="E83"/>
  <c r="J88"/>
  <c r="H87"/>
  <c r="F86"/>
  <c r="F80"/>
  <c r="I81"/>
  <c r="G83"/>
  <c r="H85"/>
  <c r="J80"/>
  <c r="F88"/>
  <c r="F160" s="1"/>
  <c r="H82"/>
  <c r="J86"/>
  <c r="E81"/>
  <c r="H25"/>
  <c r="I28"/>
  <c r="H30"/>
  <c r="G31"/>
  <c r="F32"/>
  <c r="I33"/>
  <c r="I153" s="1"/>
  <c r="I26"/>
  <c r="H27"/>
  <c r="F30"/>
  <c r="I31"/>
  <c r="H32"/>
  <c r="G33"/>
  <c r="G153" s="1"/>
  <c r="I27"/>
  <c r="H28"/>
  <c r="G30"/>
  <c r="F31"/>
  <c r="I32"/>
  <c r="H33"/>
  <c r="H153" s="1"/>
  <c r="G32"/>
  <c r="I25"/>
  <c r="F33"/>
  <c r="F153" s="1"/>
  <c r="H26"/>
  <c r="I30"/>
  <c r="H31"/>
  <c r="I248" i="30"/>
  <c r="H248"/>
  <c r="J163" i="45" l="1"/>
  <c r="J158"/>
  <c r="J157"/>
  <c r="J161"/>
  <c r="J164"/>
  <c r="Q54"/>
  <c r="Q47"/>
  <c r="I156"/>
  <c r="P55"/>
  <c r="H156"/>
  <c r="K156" s="1"/>
  <c r="O55"/>
  <c r="Q49"/>
  <c r="Q53"/>
  <c r="Q52"/>
  <c r="Q48"/>
  <c r="J252" i="30"/>
  <c r="J251"/>
  <c r="J247"/>
  <c r="J246"/>
  <c r="E248"/>
  <c r="G248"/>
  <c r="F248"/>
  <c r="J250"/>
  <c r="J253" s="1"/>
  <c r="J245"/>
  <c r="G218"/>
  <c r="H218"/>
  <c r="J218"/>
  <c r="G219"/>
  <c r="H219"/>
  <c r="J219"/>
  <c r="G220"/>
  <c r="H220"/>
  <c r="J220"/>
  <c r="G221"/>
  <c r="H221"/>
  <c r="J221"/>
  <c r="G223"/>
  <c r="J223"/>
  <c r="G224"/>
  <c r="H224"/>
  <c r="J224"/>
  <c r="G225"/>
  <c r="H225"/>
  <c r="J225"/>
  <c r="G226"/>
  <c r="J226"/>
  <c r="P43" i="7"/>
  <c r="P46"/>
  <c r="S46"/>
  <c r="P41"/>
  <c r="S41"/>
  <c r="Q41"/>
  <c r="S45"/>
  <c r="S44"/>
  <c r="S43"/>
  <c r="S39"/>
  <c r="S40"/>
  <c r="S38"/>
  <c r="P39"/>
  <c r="P40"/>
  <c r="P38"/>
  <c r="Q37"/>
  <c r="Q39"/>
  <c r="Q40"/>
  <c r="Q44"/>
  <c r="Q45"/>
  <c r="P45"/>
  <c r="P44"/>
  <c r="T37"/>
  <c r="P37"/>
  <c r="R37"/>
  <c r="I213" i="30"/>
  <c r="G213"/>
  <c r="I212"/>
  <c r="G212"/>
  <c r="I211"/>
  <c r="G211"/>
  <c r="I210"/>
  <c r="G210"/>
  <c r="G205"/>
  <c r="I205"/>
  <c r="G206"/>
  <c r="I206"/>
  <c r="G207"/>
  <c r="I207"/>
  <c r="G208"/>
  <c r="I208"/>
  <c r="P37" i="3"/>
  <c r="P34"/>
  <c r="P32"/>
  <c r="R37"/>
  <c r="R32"/>
  <c r="R34"/>
  <c r="D20"/>
  <c r="D14"/>
  <c r="P36"/>
  <c r="P35"/>
  <c r="P30"/>
  <c r="P31"/>
  <c r="G217" i="30"/>
  <c r="H217"/>
  <c r="I217"/>
  <c r="K217"/>
  <c r="F204"/>
  <c r="G204"/>
  <c r="H204"/>
  <c r="I204"/>
  <c r="J204"/>
  <c r="E204"/>
  <c r="G197"/>
  <c r="C49" i="21" s="1"/>
  <c r="G198" i="30"/>
  <c r="C50" i="21" s="1"/>
  <c r="G199" i="30"/>
  <c r="C51" i="21" s="1"/>
  <c r="G200" i="30"/>
  <c r="C52" i="21" s="1"/>
  <c r="G192" i="30"/>
  <c r="C44" i="21" s="1"/>
  <c r="G193" i="30"/>
  <c r="C45" i="21" s="1"/>
  <c r="G194" i="30"/>
  <c r="C46" i="21" s="1"/>
  <c r="G195" i="30"/>
  <c r="C47" i="21" s="1"/>
  <c r="F191" i="30"/>
  <c r="G191"/>
  <c r="E191"/>
  <c r="I57"/>
  <c r="AD3" i="43"/>
  <c r="F28" i="3"/>
  <c r="I32" i="7"/>
  <c r="J156" i="45" l="1"/>
  <c r="Q55"/>
  <c r="G145" i="30"/>
  <c r="G150"/>
  <c r="G144"/>
  <c r="G149"/>
  <c r="G152" s="1"/>
  <c r="G146"/>
  <c r="G151"/>
  <c r="J248"/>
  <c r="AL21" i="32"/>
  <c r="AV18"/>
  <c r="AV21" s="1"/>
  <c r="AL18"/>
  <c r="AD18"/>
  <c r="AD21" s="1"/>
  <c r="T18"/>
  <c r="T21" s="1"/>
  <c r="L18"/>
  <c r="L21" s="1"/>
  <c r="D37"/>
  <c r="AV18" i="31"/>
  <c r="AV21" s="1"/>
  <c r="AL18"/>
  <c r="AL21" s="1"/>
  <c r="AD18"/>
  <c r="AD21" s="1"/>
  <c r="T18"/>
  <c r="T21" s="1"/>
  <c r="L18"/>
  <c r="L21" s="1"/>
  <c r="BF21" i="25"/>
  <c r="AV21"/>
  <c r="AL21"/>
  <c r="AD21"/>
  <c r="T21"/>
  <c r="L21"/>
  <c r="AE8" i="24"/>
  <c r="AV18" i="25"/>
  <c r="AL18"/>
  <c r="AD18"/>
  <c r="T18"/>
  <c r="L18"/>
  <c r="AE7" i="24"/>
  <c r="H13" i="27"/>
  <c r="Z13" i="26"/>
  <c r="R13"/>
  <c r="J13"/>
  <c r="X3"/>
  <c r="P3"/>
  <c r="H3"/>
  <c r="L4" i="29"/>
  <c r="G147" i="30" l="1"/>
  <c r="P17" i="24"/>
  <c r="Z17" l="1"/>
  <c r="AI18" l="1"/>
  <c r="AI19"/>
  <c r="AI20"/>
  <c r="AI21"/>
  <c r="AI22"/>
  <c r="AI23"/>
  <c r="AI24"/>
  <c r="AI17"/>
  <c r="I47" i="26" l="1"/>
  <c r="C47"/>
  <c r="C26"/>
  <c r="AD4" i="43"/>
  <c r="AD5"/>
  <c r="AD6"/>
  <c r="AD7"/>
  <c r="AD8"/>
  <c r="L10"/>
  <c r="M10"/>
  <c r="N10"/>
  <c r="T10"/>
  <c r="AF10" s="1"/>
  <c r="X10"/>
  <c r="AI10" s="1"/>
  <c r="AJ10" s="1"/>
  <c r="G6" i="38" s="1"/>
  <c r="H10" i="35" s="1"/>
  <c r="AD10" i="43"/>
  <c r="T16"/>
  <c r="L18"/>
  <c r="M18"/>
  <c r="N18"/>
  <c r="T18"/>
  <c r="X18"/>
  <c r="AC18"/>
  <c r="AD18" s="1"/>
  <c r="AF18" s="1"/>
  <c r="AH18" s="1"/>
  <c r="E6" i="40" s="1"/>
  <c r="F50" i="35" s="1"/>
  <c r="L19" i="43"/>
  <c r="M19"/>
  <c r="N19"/>
  <c r="T19"/>
  <c r="X19"/>
  <c r="L21"/>
  <c r="M21"/>
  <c r="N21"/>
  <c r="T21"/>
  <c r="X21"/>
  <c r="J23"/>
  <c r="L23" s="1"/>
  <c r="K23"/>
  <c r="M23" s="1"/>
  <c r="N23"/>
  <c r="R23"/>
  <c r="T23"/>
  <c r="X23"/>
  <c r="J24"/>
  <c r="L24" s="1"/>
  <c r="K24"/>
  <c r="N24"/>
  <c r="R24"/>
  <c r="X24" s="1"/>
  <c r="T24"/>
  <c r="J25"/>
  <c r="K25"/>
  <c r="J26"/>
  <c r="L26" s="1"/>
  <c r="K26"/>
  <c r="N26"/>
  <c r="R26"/>
  <c r="X26" s="1"/>
  <c r="T26"/>
  <c r="AJ27"/>
  <c r="AK27"/>
  <c r="AJ28"/>
  <c r="AK28"/>
  <c r="I29"/>
  <c r="L29" s="1"/>
  <c r="M29"/>
  <c r="AC29"/>
  <c r="I30"/>
  <c r="L30"/>
  <c r="M30"/>
  <c r="I31"/>
  <c r="M31" s="1"/>
  <c r="L31"/>
  <c r="L32"/>
  <c r="M32"/>
  <c r="T32"/>
  <c r="I33"/>
  <c r="J33"/>
  <c r="K33"/>
  <c r="L33"/>
  <c r="AJ34"/>
  <c r="AK34"/>
  <c r="I35"/>
  <c r="L35"/>
  <c r="M35"/>
  <c r="L36"/>
  <c r="M36"/>
  <c r="T36"/>
  <c r="I37"/>
  <c r="AJ38"/>
  <c r="AK38"/>
  <c r="I44"/>
  <c r="X56"/>
  <c r="I45"/>
  <c r="I46"/>
  <c r="Y47"/>
  <c r="I47" s="1"/>
  <c r="T54"/>
  <c r="X53"/>
  <c r="AG50"/>
  <c r="AH50"/>
  <c r="AJ50"/>
  <c r="AK50"/>
  <c r="L51"/>
  <c r="X51"/>
  <c r="T51"/>
  <c r="T56"/>
  <c r="AG59"/>
  <c r="AH59"/>
  <c r="AJ59"/>
  <c r="AK59"/>
  <c r="I60"/>
  <c r="L60"/>
  <c r="M60"/>
  <c r="N60"/>
  <c r="I61"/>
  <c r="I62"/>
  <c r="L62"/>
  <c r="M62"/>
  <c r="N62"/>
  <c r="I63"/>
  <c r="I64"/>
  <c r="I65"/>
  <c r="L65"/>
  <c r="M65"/>
  <c r="N65"/>
  <c r="AG66"/>
  <c r="AH66"/>
  <c r="AJ66"/>
  <c r="AK66"/>
  <c r="I67"/>
  <c r="I68"/>
  <c r="L68"/>
  <c r="M68"/>
  <c r="N68"/>
  <c r="I69"/>
  <c r="M69" s="1"/>
  <c r="L69"/>
  <c r="N69"/>
  <c r="I70"/>
  <c r="L70"/>
  <c r="M70"/>
  <c r="I71"/>
  <c r="L71" s="1"/>
  <c r="M71"/>
  <c r="T72"/>
  <c r="X72"/>
  <c r="Z72"/>
  <c r="AA72"/>
  <c r="AB72"/>
  <c r="D3" i="42"/>
  <c r="I3"/>
  <c r="D4"/>
  <c r="AC12" i="43" s="1"/>
  <c r="AD12" s="1"/>
  <c r="D6" i="42"/>
  <c r="D7"/>
  <c r="D8"/>
  <c r="E8"/>
  <c r="F8"/>
  <c r="D10"/>
  <c r="E10"/>
  <c r="F10"/>
  <c r="D12"/>
  <c r="D14"/>
  <c r="E14"/>
  <c r="F14"/>
  <c r="F24" s="1"/>
  <c r="D15"/>
  <c r="J15" s="1"/>
  <c r="D17"/>
  <c r="C18"/>
  <c r="F18"/>
  <c r="E19"/>
  <c r="F19"/>
  <c r="D20"/>
  <c r="E20"/>
  <c r="F20"/>
  <c r="K20"/>
  <c r="D22"/>
  <c r="AC39" i="43" s="1"/>
  <c r="AC51" s="1"/>
  <c r="D23" i="42"/>
  <c r="C24"/>
  <c r="D24"/>
  <c r="E24"/>
  <c r="D26"/>
  <c r="AC60" i="43" s="1"/>
  <c r="AC67" s="1"/>
  <c r="C1" i="41"/>
  <c r="D1"/>
  <c r="E1"/>
  <c r="F1"/>
  <c r="G1"/>
  <c r="H1"/>
  <c r="C2"/>
  <c r="F2"/>
  <c r="A3"/>
  <c r="B3"/>
  <c r="A4"/>
  <c r="B4"/>
  <c r="A6"/>
  <c r="B61" i="35" s="1"/>
  <c r="B6" i="41"/>
  <c r="A8"/>
  <c r="B63" i="35" s="1"/>
  <c r="B8" i="41"/>
  <c r="A9"/>
  <c r="B64" i="35" s="1"/>
  <c r="B9" i="41"/>
  <c r="A10"/>
  <c r="B65" i="35" s="1"/>
  <c r="B10" i="41"/>
  <c r="A11"/>
  <c r="B11"/>
  <c r="A12"/>
  <c r="B67" i="35" s="1"/>
  <c r="B12" i="41"/>
  <c r="A13"/>
  <c r="B68" i="35" s="1"/>
  <c r="B13" i="41"/>
  <c r="A14"/>
  <c r="B14"/>
  <c r="C1" i="40"/>
  <c r="D1"/>
  <c r="E1"/>
  <c r="F1"/>
  <c r="G1"/>
  <c r="H1"/>
  <c r="C2"/>
  <c r="F2"/>
  <c r="A3"/>
  <c r="B3"/>
  <c r="A4"/>
  <c r="B4"/>
  <c r="A6"/>
  <c r="B6"/>
  <c r="A7"/>
  <c r="B51" i="35" s="1"/>
  <c r="B7" i="40"/>
  <c r="A8"/>
  <c r="B8"/>
  <c r="A9"/>
  <c r="B9"/>
  <c r="A11"/>
  <c r="B55" i="35" s="1"/>
  <c r="B11" i="40"/>
  <c r="A12"/>
  <c r="B56" i="35" s="1"/>
  <c r="B12" i="40"/>
  <c r="A13"/>
  <c r="B13"/>
  <c r="A14"/>
  <c r="B58" i="35" s="1"/>
  <c r="B14" i="40"/>
  <c r="C1" i="39"/>
  <c r="D1"/>
  <c r="E1"/>
  <c r="F1"/>
  <c r="G1"/>
  <c r="H1"/>
  <c r="C2"/>
  <c r="F2"/>
  <c r="A3"/>
  <c r="B3"/>
  <c r="A4"/>
  <c r="B4"/>
  <c r="A6"/>
  <c r="B6"/>
  <c r="A7"/>
  <c r="B7"/>
  <c r="A8"/>
  <c r="B8"/>
  <c r="A9"/>
  <c r="B9"/>
  <c r="A10"/>
  <c r="B10"/>
  <c r="A12"/>
  <c r="B12"/>
  <c r="A13"/>
  <c r="B13"/>
  <c r="A14"/>
  <c r="B14"/>
  <c r="C1" i="38"/>
  <c r="D1"/>
  <c r="E5" i="35" s="1"/>
  <c r="E1" i="38"/>
  <c r="F1"/>
  <c r="G5" i="35" s="1"/>
  <c r="G1" i="38"/>
  <c r="H5" i="35" s="1"/>
  <c r="H1" i="38"/>
  <c r="I5" i="35" s="1"/>
  <c r="C2" i="38"/>
  <c r="F2"/>
  <c r="G6" i="35" s="1"/>
  <c r="A3" i="38"/>
  <c r="B3"/>
  <c r="C7" i="35" s="1"/>
  <c r="A4" i="38"/>
  <c r="B8" i="35" s="1"/>
  <c r="B4" i="38"/>
  <c r="C8" i="35" s="1"/>
  <c r="A6" i="38"/>
  <c r="B10" i="35" s="1"/>
  <c r="B6" i="38"/>
  <c r="C6"/>
  <c r="D10" i="35" s="1"/>
  <c r="A7" i="38"/>
  <c r="B11" i="35" s="1"/>
  <c r="B7" i="38"/>
  <c r="C11" i="35" s="1"/>
  <c r="A8" i="38"/>
  <c r="B8"/>
  <c r="A9"/>
  <c r="B45" i="35" s="1"/>
  <c r="B9" i="38"/>
  <c r="C13" i="35" s="1"/>
  <c r="A10" i="38"/>
  <c r="B10"/>
  <c r="A11"/>
  <c r="B15" i="35" s="1"/>
  <c r="B11" i="38"/>
  <c r="G2" i="37"/>
  <c r="H2"/>
  <c r="M2" s="1"/>
  <c r="J2"/>
  <c r="O2" s="1"/>
  <c r="L2"/>
  <c r="G3"/>
  <c r="L3" s="1"/>
  <c r="H3"/>
  <c r="M3" s="1"/>
  <c r="C4"/>
  <c r="C5" s="1"/>
  <c r="C6" s="1"/>
  <c r="H4"/>
  <c r="H5" s="1"/>
  <c r="H6" s="1"/>
  <c r="M4"/>
  <c r="M5" s="1"/>
  <c r="M6" s="1"/>
  <c r="H7"/>
  <c r="M7" s="1"/>
  <c r="J7"/>
  <c r="O7"/>
  <c r="G2" i="36"/>
  <c r="H2"/>
  <c r="M2" s="1"/>
  <c r="J2"/>
  <c r="O2" s="1"/>
  <c r="L2"/>
  <c r="G3"/>
  <c r="L3" s="1"/>
  <c r="H3"/>
  <c r="M3"/>
  <c r="M6"/>
  <c r="H7"/>
  <c r="M7" s="1"/>
  <c r="J7"/>
  <c r="O7" s="1"/>
  <c r="D5" i="35"/>
  <c r="F5"/>
  <c r="D6"/>
  <c r="B7"/>
  <c r="B12"/>
  <c r="B14"/>
  <c r="D17"/>
  <c r="G17"/>
  <c r="B18"/>
  <c r="B25"/>
  <c r="D25"/>
  <c r="G25"/>
  <c r="D36"/>
  <c r="E36"/>
  <c r="F36"/>
  <c r="G36"/>
  <c r="H36"/>
  <c r="I36"/>
  <c r="D37"/>
  <c r="G37"/>
  <c r="B38"/>
  <c r="B39"/>
  <c r="B43"/>
  <c r="B44"/>
  <c r="B46"/>
  <c r="B47"/>
  <c r="B50"/>
  <c r="B52"/>
  <c r="B53"/>
  <c r="B57"/>
  <c r="B66"/>
  <c r="B69"/>
  <c r="B72"/>
  <c r="B73"/>
  <c r="B74"/>
  <c r="B75"/>
  <c r="B76"/>
  <c r="B78"/>
  <c r="B79"/>
  <c r="B80"/>
  <c r="C4" i="36"/>
  <c r="C5" s="1"/>
  <c r="B7" i="34"/>
  <c r="H4" i="36" s="1"/>
  <c r="H5" s="1"/>
  <c r="B8" i="34"/>
  <c r="M4" i="36" s="1"/>
  <c r="M5" s="1"/>
  <c r="B19" i="34"/>
  <c r="I4" i="42" l="1"/>
  <c r="I5" s="1"/>
  <c r="G3"/>
  <c r="B13" i="35"/>
  <c r="X57" i="43"/>
  <c r="B42" i="35"/>
  <c r="X58" i="43"/>
  <c r="B15" i="38"/>
  <c r="C19" i="35" s="1"/>
  <c r="L16" i="43"/>
  <c r="AC23"/>
  <c r="AD23" s="1"/>
  <c r="AF23" s="1"/>
  <c r="AH23" s="1"/>
  <c r="E11" i="40" s="1"/>
  <c r="F55" i="35" s="1"/>
  <c r="F6" i="38"/>
  <c r="G42" i="35" s="1"/>
  <c r="D42"/>
  <c r="M46" i="43"/>
  <c r="L46"/>
  <c r="L44"/>
  <c r="M44"/>
  <c r="M47"/>
  <c r="L47"/>
  <c r="M45"/>
  <c r="L45"/>
  <c r="H42" i="35"/>
  <c r="M51" i="43"/>
  <c r="B17" i="38"/>
  <c r="B25" s="1"/>
  <c r="C29" i="35" s="1"/>
  <c r="C6" i="40"/>
  <c r="D50" i="35" s="1"/>
  <c r="AI18" i="43"/>
  <c r="F6" i="40" s="1"/>
  <c r="G50" i="35" s="1"/>
  <c r="H6" i="36"/>
  <c r="M61" i="43"/>
  <c r="L61"/>
  <c r="I72"/>
  <c r="N61"/>
  <c r="AC68"/>
  <c r="AD67"/>
  <c r="AC13"/>
  <c r="C5" i="42"/>
  <c r="C12" i="35"/>
  <c r="B16" i="38"/>
  <c r="C6" i="36"/>
  <c r="AD51" i="43"/>
  <c r="AC53"/>
  <c r="X40"/>
  <c r="M24"/>
  <c r="C15" i="35"/>
  <c r="B19" i="38"/>
  <c r="AC61" i="43"/>
  <c r="AD60"/>
  <c r="M63"/>
  <c r="L63"/>
  <c r="AH10"/>
  <c r="E6" i="38" s="1"/>
  <c r="AG10" i="43"/>
  <c r="D6" i="38" s="1"/>
  <c r="C19" i="42"/>
  <c r="D19" s="1"/>
  <c r="D18"/>
  <c r="AC19" i="43" s="1"/>
  <c r="L64"/>
  <c r="M64"/>
  <c r="Y49"/>
  <c r="I49" s="1"/>
  <c r="B18" i="38"/>
  <c r="C14" i="35"/>
  <c r="B14" i="38"/>
  <c r="C10" i="35"/>
  <c r="AD39" i="43"/>
  <c r="AI39" s="1"/>
  <c r="AC44"/>
  <c r="M67"/>
  <c r="N67"/>
  <c r="L67"/>
  <c r="T40"/>
  <c r="I39"/>
  <c r="T58"/>
  <c r="AJ18"/>
  <c r="G6" i="40" s="1"/>
  <c r="H50" i="35" s="1"/>
  <c r="AK10" i="43"/>
  <c r="H6" i="38" s="1"/>
  <c r="AC9" i="43"/>
  <c r="AC20"/>
  <c r="X54"/>
  <c r="X55"/>
  <c r="L37"/>
  <c r="M37"/>
  <c r="AC33"/>
  <c r="AD33" s="1"/>
  <c r="AD29"/>
  <c r="AC30"/>
  <c r="AG18"/>
  <c r="D6" i="40" s="1"/>
  <c r="E50" i="35" s="1"/>
  <c r="T53" i="43"/>
  <c r="T55"/>
  <c r="T57"/>
  <c r="M33"/>
  <c r="M26"/>
  <c r="N16"/>
  <c r="M16"/>
  <c r="H4" i="42" l="1"/>
  <c r="G4"/>
  <c r="B23" i="38"/>
  <c r="C27" i="35" s="1"/>
  <c r="AI23" i="43"/>
  <c r="AG23"/>
  <c r="D11" i="40" s="1"/>
  <c r="E55" i="35" s="1"/>
  <c r="C11" i="40"/>
  <c r="AF39" i="43"/>
  <c r="G10" i="35"/>
  <c r="AK18" i="43"/>
  <c r="H6" i="40" s="1"/>
  <c r="I50" i="35" s="1"/>
  <c r="A5" i="36"/>
  <c r="C21" i="35"/>
  <c r="AI33" i="43"/>
  <c r="AF33"/>
  <c r="M39"/>
  <c r="L39"/>
  <c r="E42" i="35"/>
  <c r="E10"/>
  <c r="AF60" i="43"/>
  <c r="AI60"/>
  <c r="AK39"/>
  <c r="H6" i="41" s="1"/>
  <c r="I61" i="35" s="1"/>
  <c r="F6" i="41"/>
  <c r="G61" i="35" s="1"/>
  <c r="AJ39" i="43"/>
  <c r="G6" i="41" s="1"/>
  <c r="H61" i="35" s="1"/>
  <c r="B24" i="38"/>
  <c r="C28" i="35" s="1"/>
  <c r="C20"/>
  <c r="A4" i="36"/>
  <c r="AF67" i="43"/>
  <c r="AI67"/>
  <c r="AC25"/>
  <c r="AD25" s="1"/>
  <c r="AD20"/>
  <c r="C6" i="41"/>
  <c r="D61" i="35" s="1"/>
  <c r="B22" i="38"/>
  <c r="C26" i="35" s="1"/>
  <c r="C18"/>
  <c r="L49" i="43"/>
  <c r="M49"/>
  <c r="G5" i="42"/>
  <c r="I6"/>
  <c r="AC62" i="43"/>
  <c r="AD61"/>
  <c r="AC54"/>
  <c r="AD53"/>
  <c r="AI53" s="1"/>
  <c r="AC69"/>
  <c r="AD68"/>
  <c r="AK23"/>
  <c r="H11" i="40" s="1"/>
  <c r="I55" i="35" s="1"/>
  <c r="F11" i="40"/>
  <c r="AD30" i="43"/>
  <c r="AC31"/>
  <c r="AD9"/>
  <c r="AC16"/>
  <c r="AD16" s="1"/>
  <c r="AC21"/>
  <c r="AC35"/>
  <c r="I40"/>
  <c r="T41"/>
  <c r="AD44"/>
  <c r="AC45"/>
  <c r="AC24"/>
  <c r="AD24" s="1"/>
  <c r="AD19"/>
  <c r="F10" i="35"/>
  <c r="F42"/>
  <c r="C23"/>
  <c r="B27" i="38"/>
  <c r="C31" i="35" s="1"/>
  <c r="AF51" i="43"/>
  <c r="AI51"/>
  <c r="AC14"/>
  <c r="AD13"/>
  <c r="AF29"/>
  <c r="AI29"/>
  <c r="I10" i="35"/>
  <c r="I42"/>
  <c r="AD41" i="43"/>
  <c r="AD40"/>
  <c r="AI40" s="1"/>
  <c r="AD42"/>
  <c r="B26" i="38"/>
  <c r="C30" i="35" s="1"/>
  <c r="A6" i="36"/>
  <c r="C22" i="35"/>
  <c r="AJ23" i="43"/>
  <c r="G11" i="40" s="1"/>
  <c r="H55" i="35" s="1"/>
  <c r="X41" i="43"/>
  <c r="M72"/>
  <c r="L72"/>
  <c r="AH39" l="1"/>
  <c r="E6" i="41" s="1"/>
  <c r="F61" i="35" s="1"/>
  <c r="AG39" i="43"/>
  <c r="D6" i="41" s="1"/>
  <c r="E61" i="35" s="1"/>
  <c r="D55"/>
  <c r="AF53" i="43"/>
  <c r="AF40"/>
  <c r="AK40"/>
  <c r="AJ40"/>
  <c r="AI41"/>
  <c r="X42"/>
  <c r="AI42" s="1"/>
  <c r="AG29"/>
  <c r="C6" i="39"/>
  <c r="AH29" i="43"/>
  <c r="D72" i="35"/>
  <c r="AI19" i="43"/>
  <c r="AF19"/>
  <c r="AF16"/>
  <c r="AI68"/>
  <c r="AF68"/>
  <c r="AD54"/>
  <c r="AC55"/>
  <c r="AJ67"/>
  <c r="AK67"/>
  <c r="AH33"/>
  <c r="C10" i="39"/>
  <c r="D76" i="35"/>
  <c r="AG33" i="43"/>
  <c r="AD14"/>
  <c r="AC15"/>
  <c r="AD15" s="1"/>
  <c r="AF24"/>
  <c r="AI24"/>
  <c r="T42"/>
  <c r="AF41"/>
  <c r="I41"/>
  <c r="G55" i="35"/>
  <c r="AD69" i="43"/>
  <c r="AC70"/>
  <c r="AF61"/>
  <c r="AI61"/>
  <c r="G6" i="42"/>
  <c r="H6" s="1"/>
  <c r="I7"/>
  <c r="AH67" i="43"/>
  <c r="AG67"/>
  <c r="AK33"/>
  <c r="G76" i="35"/>
  <c r="F10" i="39"/>
  <c r="AJ33" i="43"/>
  <c r="AJ51"/>
  <c r="G14" i="41" s="1"/>
  <c r="H69" i="35" s="1"/>
  <c r="AK51" i="43"/>
  <c r="H14" i="41" s="1"/>
  <c r="I69" i="35" s="1"/>
  <c r="F14" i="41"/>
  <c r="G69" i="35" s="1"/>
  <c r="AD45" i="43"/>
  <c r="AC46"/>
  <c r="M40"/>
  <c r="L40"/>
  <c r="AD35"/>
  <c r="AC36"/>
  <c r="AC32"/>
  <c r="AD32" s="1"/>
  <c r="AD31"/>
  <c r="AD62"/>
  <c r="AC63"/>
  <c r="AK60"/>
  <c r="AJ60"/>
  <c r="AJ29"/>
  <c r="AK29"/>
  <c r="F6" i="39"/>
  <c r="G72" i="35"/>
  <c r="AG51" i="43"/>
  <c r="D14" i="41" s="1"/>
  <c r="E69" i="35" s="1"/>
  <c r="AH51" i="43"/>
  <c r="E14" i="41" s="1"/>
  <c r="F69" i="35" s="1"/>
  <c r="C14" i="41"/>
  <c r="D69" i="35" s="1"/>
  <c r="AI44" i="43"/>
  <c r="AF44"/>
  <c r="AC26"/>
  <c r="AD26" s="1"/>
  <c r="AD21"/>
  <c r="AI30"/>
  <c r="AF30"/>
  <c r="AH60"/>
  <c r="AG60"/>
  <c r="AH40" l="1"/>
  <c r="AG40"/>
  <c r="AF26"/>
  <c r="AI26"/>
  <c r="AJ44"/>
  <c r="G8" i="41" s="1"/>
  <c r="H63" i="35" s="1"/>
  <c r="AK44" i="43"/>
  <c r="H8" i="41" s="1"/>
  <c r="I63" i="35" s="1"/>
  <c r="F8" i="41"/>
  <c r="G63" i="35" s="1"/>
  <c r="AI62" i="43"/>
  <c r="AF62"/>
  <c r="AI35"/>
  <c r="AF35"/>
  <c r="AF45"/>
  <c r="AI45"/>
  <c r="H76" i="35"/>
  <c r="G10" i="39"/>
  <c r="H10"/>
  <c r="I76" i="35"/>
  <c r="AJ61" i="43"/>
  <c r="AK61"/>
  <c r="AF42"/>
  <c r="I42"/>
  <c r="D10" i="39"/>
  <c r="E76" i="35"/>
  <c r="E10" i="39"/>
  <c r="F76" i="35"/>
  <c r="AC56" i="43"/>
  <c r="AD55"/>
  <c r="AH16"/>
  <c r="E11" i="38" s="1"/>
  <c r="AG16" i="43"/>
  <c r="C11" i="38"/>
  <c r="E6" i="39"/>
  <c r="F72" i="35"/>
  <c r="AK42" i="43"/>
  <c r="AJ42"/>
  <c r="AH30"/>
  <c r="AG30"/>
  <c r="D73" i="35"/>
  <c r="C7" i="39"/>
  <c r="H72" i="35"/>
  <c r="G6" i="39"/>
  <c r="AF31" i="43"/>
  <c r="AI31"/>
  <c r="AH61"/>
  <c r="AG61"/>
  <c r="AK24"/>
  <c r="H12" i="40" s="1"/>
  <c r="I56" i="35" s="1"/>
  <c r="F12" i="40"/>
  <c r="AJ24" i="43"/>
  <c r="G12" i="40" s="1"/>
  <c r="H56" i="35" s="1"/>
  <c r="AF54" i="43"/>
  <c r="AI54"/>
  <c r="AH19"/>
  <c r="E7" i="40" s="1"/>
  <c r="F51" i="35" s="1"/>
  <c r="AG19" i="43"/>
  <c r="D7" i="40" s="1"/>
  <c r="E51" i="35" s="1"/>
  <c r="C7" i="40"/>
  <c r="AJ41" i="43"/>
  <c r="AK41"/>
  <c r="AK30"/>
  <c r="AJ30"/>
  <c r="F7" i="39"/>
  <c r="G73" i="35"/>
  <c r="AF32" i="43"/>
  <c r="AI32"/>
  <c r="I8" i="42"/>
  <c r="G7"/>
  <c r="H7" s="1"/>
  <c r="AD70" i="43"/>
  <c r="AC71"/>
  <c r="L41"/>
  <c r="M41"/>
  <c r="AH24"/>
  <c r="E12" i="40" s="1"/>
  <c r="F56" i="35" s="1"/>
  <c r="C12" i="40"/>
  <c r="AG24" i="43"/>
  <c r="D12" i="40" s="1"/>
  <c r="E56" i="35" s="1"/>
  <c r="AH68" i="43"/>
  <c r="AG68"/>
  <c r="AK19"/>
  <c r="H7" i="40" s="1"/>
  <c r="I51" i="35" s="1"/>
  <c r="AJ19" i="43"/>
  <c r="G7" i="40" s="1"/>
  <c r="H51" i="35" s="1"/>
  <c r="F7" i="40"/>
  <c r="AI21" i="43"/>
  <c r="AF21"/>
  <c r="AH44"/>
  <c r="E8" i="41" s="1"/>
  <c r="F63" i="35" s="1"/>
  <c r="AG44" i="43"/>
  <c r="D8" i="41" s="1"/>
  <c r="E63" i="35" s="1"/>
  <c r="C8" i="41"/>
  <c r="D63" i="35" s="1"/>
  <c r="H6" i="39"/>
  <c r="I72" i="35"/>
  <c r="AC64" i="43"/>
  <c r="AD63"/>
  <c r="AD36"/>
  <c r="AC37"/>
  <c r="AD37" s="1"/>
  <c r="AC47"/>
  <c r="AD46"/>
  <c r="AF69"/>
  <c r="AI69"/>
  <c r="AH41"/>
  <c r="AG41"/>
  <c r="AK68"/>
  <c r="AJ68"/>
  <c r="D6" i="39"/>
  <c r="E72" i="35"/>
  <c r="AH69" i="43" l="1"/>
  <c r="AG69"/>
  <c r="AC48"/>
  <c r="AD47"/>
  <c r="AC65"/>
  <c r="AD65" s="1"/>
  <c r="AD64"/>
  <c r="D56" i="35"/>
  <c r="AD71" i="43"/>
  <c r="AC72"/>
  <c r="AD72" s="1"/>
  <c r="L42"/>
  <c r="M42"/>
  <c r="AK35"/>
  <c r="AJ35"/>
  <c r="F12" i="39"/>
  <c r="G78" i="35"/>
  <c r="AH26" i="43"/>
  <c r="E14" i="40" s="1"/>
  <c r="F58" i="35" s="1"/>
  <c r="C14" i="40"/>
  <c r="AG26" i="43"/>
  <c r="D14" i="40" s="1"/>
  <c r="E58" i="35" s="1"/>
  <c r="AF37" i="43"/>
  <c r="AI37"/>
  <c r="AH21"/>
  <c r="E9" i="40" s="1"/>
  <c r="F53" i="35" s="1"/>
  <c r="AG21" i="43"/>
  <c r="D9" i="40" s="1"/>
  <c r="E53" i="35" s="1"/>
  <c r="C9" i="40"/>
  <c r="AI70" i="43"/>
  <c r="AF70"/>
  <c r="G56" i="35"/>
  <c r="E73"/>
  <c r="D7" i="39"/>
  <c r="D15" i="35"/>
  <c r="D47"/>
  <c r="F15"/>
  <c r="F47"/>
  <c r="AG42" i="43"/>
  <c r="AH42"/>
  <c r="F9" i="41"/>
  <c r="G64" i="35" s="1"/>
  <c r="AJ45" i="43"/>
  <c r="G9" i="41" s="1"/>
  <c r="H64" i="35" s="1"/>
  <c r="AK45" i="43"/>
  <c r="H9" i="41" s="1"/>
  <c r="I64" i="35" s="1"/>
  <c r="AH62" i="43"/>
  <c r="AG62"/>
  <c r="AF36"/>
  <c r="AI36"/>
  <c r="AK21"/>
  <c r="H9" i="40" s="1"/>
  <c r="I53" i="35" s="1"/>
  <c r="AJ21" i="43"/>
  <c r="G9" i="40" s="1"/>
  <c r="H53" i="35" s="1"/>
  <c r="F9" i="40"/>
  <c r="G51" i="35"/>
  <c r="AK32" i="43"/>
  <c r="AJ32"/>
  <c r="F9" i="39"/>
  <c r="G75" i="35"/>
  <c r="G7" i="39"/>
  <c r="H73" i="35"/>
  <c r="D51"/>
  <c r="AK31" i="43"/>
  <c r="AJ31"/>
  <c r="G74" i="35"/>
  <c r="F8" i="39"/>
  <c r="AF55" i="43"/>
  <c r="AI55"/>
  <c r="AH45"/>
  <c r="E9" i="41" s="1"/>
  <c r="F64" i="35" s="1"/>
  <c r="AG45" i="43"/>
  <c r="D9" i="41" s="1"/>
  <c r="E64" i="35" s="1"/>
  <c r="C9" i="41"/>
  <c r="D64" i="35" s="1"/>
  <c r="AJ62" i="43"/>
  <c r="AK62"/>
  <c r="AJ69"/>
  <c r="AK69"/>
  <c r="AF46"/>
  <c r="AI46"/>
  <c r="AF63"/>
  <c r="AI63"/>
  <c r="I9" i="42"/>
  <c r="G8"/>
  <c r="H8" s="1"/>
  <c r="AG32" i="43"/>
  <c r="AH32"/>
  <c r="D75" i="35"/>
  <c r="C9" i="39"/>
  <c r="H7"/>
  <c r="I73" i="35"/>
  <c r="AH31" i="43"/>
  <c r="AG31"/>
  <c r="C8" i="39"/>
  <c r="D74" i="35"/>
  <c r="E7" i="39"/>
  <c r="F73" i="35"/>
  <c r="D11" i="38"/>
  <c r="AD56" i="43"/>
  <c r="AC57"/>
  <c r="AG35"/>
  <c r="AH35"/>
  <c r="D78" i="35"/>
  <c r="C12" i="39"/>
  <c r="AK26" i="43"/>
  <c r="H14" i="40" s="1"/>
  <c r="I58" i="35" s="1"/>
  <c r="F14" i="40"/>
  <c r="AJ26" i="43"/>
  <c r="G14" i="40" s="1"/>
  <c r="H58" i="35" s="1"/>
  <c r="E12" i="39" l="1"/>
  <c r="F78" i="35"/>
  <c r="E15"/>
  <c r="E47"/>
  <c r="E8" i="39"/>
  <c r="F74" i="35"/>
  <c r="AG63" i="43"/>
  <c r="AH63"/>
  <c r="G8" i="39"/>
  <c r="H74" i="35"/>
  <c r="AG70" i="43"/>
  <c r="AH70"/>
  <c r="H12" i="39"/>
  <c r="I78" i="35"/>
  <c r="AF65" i="43"/>
  <c r="AI65"/>
  <c r="E78" i="35"/>
  <c r="D12" i="39"/>
  <c r="I10" i="42"/>
  <c r="G9"/>
  <c r="H9" s="1"/>
  <c r="AJ46" i="43"/>
  <c r="G10" i="41" s="1"/>
  <c r="H65" i="35" s="1"/>
  <c r="F10" i="41"/>
  <c r="G65" i="35" s="1"/>
  <c r="AK46" i="43"/>
  <c r="H10" i="41" s="1"/>
  <c r="I65" i="35" s="1"/>
  <c r="G53"/>
  <c r="AK36" i="43"/>
  <c r="AJ36"/>
  <c r="F13" i="39"/>
  <c r="G79" i="35"/>
  <c r="AJ70" i="43"/>
  <c r="AK70"/>
  <c r="AI47"/>
  <c r="AF47"/>
  <c r="G58" i="35"/>
  <c r="AC58" i="43"/>
  <c r="AD58" s="1"/>
  <c r="AD57"/>
  <c r="D8" i="39"/>
  <c r="E74" i="35"/>
  <c r="E9" i="39"/>
  <c r="F75" i="35"/>
  <c r="AH46" i="43"/>
  <c r="E10" i="41" s="1"/>
  <c r="F65" i="35" s="1"/>
  <c r="AG46" i="43"/>
  <c r="D10" i="41" s="1"/>
  <c r="E65" i="35" s="1"/>
  <c r="C10" i="41"/>
  <c r="D65" i="35" s="1"/>
  <c r="H8" i="39"/>
  <c r="I74" i="35"/>
  <c r="G9" i="39"/>
  <c r="H75" i="35"/>
  <c r="AG36" i="43"/>
  <c r="AH36"/>
  <c r="C13" i="39"/>
  <c r="D79" i="35"/>
  <c r="D53"/>
  <c r="AJ37" i="43"/>
  <c r="AK37"/>
  <c r="G80" i="35"/>
  <c r="F14" i="39"/>
  <c r="D58" i="35"/>
  <c r="AI72" i="43"/>
  <c r="AF72"/>
  <c r="AD48"/>
  <c r="AC49"/>
  <c r="AD49" s="1"/>
  <c r="AF56"/>
  <c r="AI56"/>
  <c r="D9" i="39"/>
  <c r="E75" i="35"/>
  <c r="AK63" i="43"/>
  <c r="AJ63"/>
  <c r="H9" i="39"/>
  <c r="I75" i="35"/>
  <c r="AH37" i="43"/>
  <c r="AG37"/>
  <c r="C14" i="39"/>
  <c r="D80" i="35"/>
  <c r="G12" i="39"/>
  <c r="H78" i="35"/>
  <c r="AI71" i="43"/>
  <c r="AF71"/>
  <c r="AF64"/>
  <c r="AI64"/>
  <c r="AG64" l="1"/>
  <c r="AH64"/>
  <c r="D14" i="39"/>
  <c r="E80" i="35"/>
  <c r="AG72" i="43"/>
  <c r="AH72"/>
  <c r="G14" i="39"/>
  <c r="H80" i="35"/>
  <c r="AH65" i="43"/>
  <c r="AG65"/>
  <c r="AH71"/>
  <c r="AG71"/>
  <c r="E14" i="39"/>
  <c r="F80" i="35"/>
  <c r="AJ72" i="43"/>
  <c r="AK72"/>
  <c r="G13" i="39"/>
  <c r="H79" i="35"/>
  <c r="AJ71" i="43"/>
  <c r="AK71"/>
  <c r="AI49"/>
  <c r="AF49"/>
  <c r="H14" i="39"/>
  <c r="I80" i="35"/>
  <c r="E13" i="39"/>
  <c r="F79" i="35"/>
  <c r="AI57" i="43"/>
  <c r="AF57"/>
  <c r="AG47"/>
  <c r="D11" i="41" s="1"/>
  <c r="E66" i="35" s="1"/>
  <c r="AH47" i="43"/>
  <c r="E11" i="41" s="1"/>
  <c r="F66" i="35" s="1"/>
  <c r="C11" i="41"/>
  <c r="D66" i="35" s="1"/>
  <c r="I79"/>
  <c r="H13" i="39"/>
  <c r="G10" i="42"/>
  <c r="H10" s="1"/>
  <c r="I11"/>
  <c r="I12" s="1"/>
  <c r="AJ64" i="43"/>
  <c r="AK64"/>
  <c r="AF48"/>
  <c r="AI48"/>
  <c r="E79" i="35"/>
  <c r="D13" i="39"/>
  <c r="AI58" i="43"/>
  <c r="AF58"/>
  <c r="AJ47"/>
  <c r="G11" i="41" s="1"/>
  <c r="H66" i="35" s="1"/>
  <c r="AK47" i="43"/>
  <c r="H11" i="41" s="1"/>
  <c r="I66" i="35" s="1"/>
  <c r="F11" i="41"/>
  <c r="G66" i="35" s="1"/>
  <c r="AK65" i="43"/>
  <c r="AJ65"/>
  <c r="AJ48" l="1"/>
  <c r="G12" i="41" s="1"/>
  <c r="H67" i="35" s="1"/>
  <c r="AK48" i="43"/>
  <c r="H12" i="41" s="1"/>
  <c r="I67" i="35" s="1"/>
  <c r="F12" i="41"/>
  <c r="G67" i="35" s="1"/>
  <c r="AH49" i="43"/>
  <c r="E13" i="41" s="1"/>
  <c r="F68" i="35" s="1"/>
  <c r="C13" i="41"/>
  <c r="D68" i="35" s="1"/>
  <c r="AG49" i="43"/>
  <c r="D13" i="41" s="1"/>
  <c r="E68" i="35" s="1"/>
  <c r="AG48" i="43"/>
  <c r="D12" i="41" s="1"/>
  <c r="E67" i="35" s="1"/>
  <c r="AH48" i="43"/>
  <c r="E12" i="41" s="1"/>
  <c r="F67" i="35" s="1"/>
  <c r="C12" i="41"/>
  <c r="D67" i="35" s="1"/>
  <c r="AJ49" i="43"/>
  <c r="G13" i="41" s="1"/>
  <c r="H68" i="35" s="1"/>
  <c r="AK49" i="43"/>
  <c r="H13" i="41" s="1"/>
  <c r="I68" i="35" s="1"/>
  <c r="F13" i="41"/>
  <c r="G68" i="35" s="1"/>
  <c r="G12" i="42"/>
  <c r="I13"/>
  <c r="I14" s="1"/>
  <c r="G14" l="1"/>
  <c r="H14" s="1"/>
  <c r="I15"/>
  <c r="G15" l="1"/>
  <c r="I16"/>
  <c r="I17" s="1"/>
  <c r="I18" l="1"/>
  <c r="G17"/>
  <c r="H17" s="1"/>
  <c r="I19" l="1"/>
  <c r="G18"/>
  <c r="H18" s="1"/>
  <c r="G19" l="1"/>
  <c r="H19" s="1"/>
  <c r="I20"/>
  <c r="I21" l="1"/>
  <c r="I22" s="1"/>
  <c r="G20"/>
  <c r="H20" s="1"/>
  <c r="H22" l="1"/>
  <c r="I23"/>
  <c r="H23" l="1"/>
  <c r="I24"/>
  <c r="I25" l="1"/>
  <c r="I26" s="1"/>
  <c r="G26" s="1"/>
  <c r="G24"/>
  <c r="H24" s="1"/>
  <c r="AI7" i="31" l="1"/>
  <c r="V9" i="24" l="1"/>
  <c r="V6" i="21"/>
  <c r="T4"/>
  <c r="D6" i="25"/>
  <c r="L4" i="1"/>
  <c r="W11" i="24"/>
  <c r="W12"/>
  <c r="V10"/>
  <c r="V8"/>
  <c r="V7"/>
  <c r="V3"/>
  <c r="U3"/>
  <c r="AF17" s="1"/>
  <c r="W9"/>
  <c r="Z23" s="1"/>
  <c r="W8"/>
  <c r="W10"/>
  <c r="W3"/>
  <c r="R10" i="25"/>
  <c r="W5" i="24"/>
  <c r="Z19"/>
  <c r="S19"/>
  <c r="S17"/>
  <c r="X7"/>
  <c r="H28" i="3"/>
  <c r="BB8" i="25"/>
  <c r="K8"/>
  <c r="BB7"/>
  <c r="BB10" s="1"/>
  <c r="T16"/>
  <c r="S11"/>
  <c r="S10"/>
  <c r="R7"/>
  <c r="P11"/>
  <c r="R3"/>
  <c r="K11"/>
  <c r="K10"/>
  <c r="J11"/>
  <c r="BA11" s="1"/>
  <c r="O8" i="1"/>
  <c r="H21" s="1"/>
  <c r="C24" i="27"/>
  <c r="C5"/>
  <c r="D8" i="26"/>
  <c r="D9"/>
  <c r="Y27" i="24"/>
  <c r="E4" i="1" s="1"/>
  <c r="W27" i="24"/>
  <c r="Z3"/>
  <c r="AE3" s="1"/>
  <c r="Z27" s="1"/>
  <c r="AB27" s="1"/>
  <c r="X10"/>
  <c r="S24" s="1"/>
  <c r="X9"/>
  <c r="X8"/>
  <c r="X6"/>
  <c r="X4"/>
  <c r="X3"/>
  <c r="W4"/>
  <c r="W7"/>
  <c r="W6"/>
  <c r="V6"/>
  <c r="V5"/>
  <c r="V4"/>
  <c r="U11"/>
  <c r="U10"/>
  <c r="U9"/>
  <c r="U8"/>
  <c r="AF22" s="1"/>
  <c r="U7"/>
  <c r="U5"/>
  <c r="U4"/>
  <c r="U6"/>
  <c r="AF20" s="1"/>
  <c r="W28"/>
  <c r="B4" i="1"/>
  <c r="Q40" i="21"/>
  <c r="P39"/>
  <c r="P38"/>
  <c r="F10"/>
  <c r="O38"/>
  <c r="O39"/>
  <c r="O40"/>
  <c r="O22"/>
  <c r="Q3"/>
  <c r="R4" s="1"/>
  <c r="G10"/>
  <c r="E18" i="3"/>
  <c r="D18"/>
  <c r="D29" i="27"/>
  <c r="BB11" i="25"/>
  <c r="AV16"/>
  <c r="I65" i="30" s="1"/>
  <c r="Y11" i="25"/>
  <c r="F5"/>
  <c r="E6" i="29"/>
  <c r="G15" i="14"/>
  <c r="Y35" i="24"/>
  <c r="E12" i="1" s="1"/>
  <c r="W34" i="24"/>
  <c r="O4" i="1"/>
  <c r="D21" s="1"/>
  <c r="L6"/>
  <c r="F18" s="1"/>
  <c r="L5"/>
  <c r="E18" s="1"/>
  <c r="D31" i="32"/>
  <c r="D24"/>
  <c r="D32" i="31"/>
  <c r="D33"/>
  <c r="D45" i="32"/>
  <c r="E43"/>
  <c r="D43"/>
  <c r="E42"/>
  <c r="D42"/>
  <c r="E41"/>
  <c r="D41"/>
  <c r="E34"/>
  <c r="E29"/>
  <c r="AB7"/>
  <c r="AB10" s="1"/>
  <c r="AB20" s="1"/>
  <c r="E23"/>
  <c r="D21"/>
  <c r="D17"/>
  <c r="Q7" s="1"/>
  <c r="AV16"/>
  <c r="AL16"/>
  <c r="AD16"/>
  <c r="T16"/>
  <c r="L16"/>
  <c r="D14"/>
  <c r="D16" s="1"/>
  <c r="R8" s="1"/>
  <c r="R11" s="1"/>
  <c r="AB11"/>
  <c r="Y11"/>
  <c r="AH11"/>
  <c r="AQ11" s="1"/>
  <c r="S11"/>
  <c r="J11"/>
  <c r="I11"/>
  <c r="AU10"/>
  <c r="AC10"/>
  <c r="AK10" s="1"/>
  <c r="S10"/>
  <c r="I10"/>
  <c r="K8"/>
  <c r="K11"/>
  <c r="R7"/>
  <c r="R10" s="1"/>
  <c r="K7"/>
  <c r="D6"/>
  <c r="F5"/>
  <c r="D5"/>
  <c r="B5"/>
  <c r="D4"/>
  <c r="D7" s="1"/>
  <c r="J7" s="1"/>
  <c r="R3"/>
  <c r="P11"/>
  <c r="AP1"/>
  <c r="AG1"/>
  <c r="X1"/>
  <c r="C1"/>
  <c r="D45" i="31"/>
  <c r="E43"/>
  <c r="D43"/>
  <c r="E42"/>
  <c r="D42"/>
  <c r="E41"/>
  <c r="D41"/>
  <c r="E34"/>
  <c r="D31"/>
  <c r="AR11" s="1"/>
  <c r="E29"/>
  <c r="AI8" s="1"/>
  <c r="AI11" s="1"/>
  <c r="D24"/>
  <c r="E23"/>
  <c r="Z8" s="1"/>
  <c r="Z11" s="1"/>
  <c r="D17"/>
  <c r="Q8" s="1"/>
  <c r="AV16"/>
  <c r="AL16"/>
  <c r="AD16"/>
  <c r="T16"/>
  <c r="L16"/>
  <c r="AB11"/>
  <c r="Y11"/>
  <c r="AH11"/>
  <c r="AQ11" s="1"/>
  <c r="S11"/>
  <c r="J11"/>
  <c r="I11"/>
  <c r="AK10"/>
  <c r="AU10" s="1"/>
  <c r="AC10"/>
  <c r="S10"/>
  <c r="I10"/>
  <c r="AS8"/>
  <c r="AS11" s="1"/>
  <c r="K8"/>
  <c r="K11" s="1"/>
  <c r="AS7"/>
  <c r="AS10" s="1"/>
  <c r="AI10"/>
  <c r="Z7"/>
  <c r="Z10" s="1"/>
  <c r="R7"/>
  <c r="R10" s="1"/>
  <c r="K7"/>
  <c r="K10" s="1"/>
  <c r="D6"/>
  <c r="F5"/>
  <c r="D5"/>
  <c r="B5"/>
  <c r="D4"/>
  <c r="D7" s="1"/>
  <c r="J7" s="1"/>
  <c r="P7" s="1"/>
  <c r="R3"/>
  <c r="P11" s="1"/>
  <c r="AP1"/>
  <c r="AG1"/>
  <c r="X1"/>
  <c r="C1"/>
  <c r="I44" i="30"/>
  <c r="I70"/>
  <c r="O5" i="1"/>
  <c r="E21" s="1"/>
  <c r="O9"/>
  <c r="I21" s="1"/>
  <c r="Z33" i="24"/>
  <c r="AB33" s="1"/>
  <c r="AP1" i="25"/>
  <c r="AG1"/>
  <c r="X1"/>
  <c r="I129" i="30"/>
  <c r="I130"/>
  <c r="I131"/>
  <c r="I133"/>
  <c r="I134"/>
  <c r="I135"/>
  <c r="I136"/>
  <c r="I128"/>
  <c r="L127"/>
  <c r="M127"/>
  <c r="K127"/>
  <c r="B139"/>
  <c r="B140"/>
  <c r="B138"/>
  <c r="F127"/>
  <c r="G127"/>
  <c r="H127"/>
  <c r="E127"/>
  <c r="D136"/>
  <c r="J136" s="1"/>
  <c r="D135"/>
  <c r="J135" s="1"/>
  <c r="D134"/>
  <c r="J134" s="1"/>
  <c r="D133"/>
  <c r="J133" s="1"/>
  <c r="D131"/>
  <c r="J131" s="1"/>
  <c r="D130"/>
  <c r="J130" s="1"/>
  <c r="D129"/>
  <c r="J129" s="1"/>
  <c r="D128"/>
  <c r="J128" s="1"/>
  <c r="I90"/>
  <c r="I103"/>
  <c r="I116"/>
  <c r="I91"/>
  <c r="I104"/>
  <c r="I117"/>
  <c r="I92"/>
  <c r="I105"/>
  <c r="I118"/>
  <c r="I93"/>
  <c r="I119"/>
  <c r="G115"/>
  <c r="H115"/>
  <c r="I115"/>
  <c r="J115"/>
  <c r="B88"/>
  <c r="E114"/>
  <c r="E89"/>
  <c r="F89"/>
  <c r="G89"/>
  <c r="H89"/>
  <c r="I89"/>
  <c r="J89"/>
  <c r="E102"/>
  <c r="F102"/>
  <c r="G102"/>
  <c r="H102"/>
  <c r="I102"/>
  <c r="J102"/>
  <c r="E115"/>
  <c r="F115"/>
  <c r="D10"/>
  <c r="G10"/>
  <c r="D44" i="21" s="1"/>
  <c r="B23" i="30"/>
  <c r="D23"/>
  <c r="I23"/>
  <c r="B36"/>
  <c r="D36"/>
  <c r="I36"/>
  <c r="B49"/>
  <c r="D49"/>
  <c r="I49"/>
  <c r="B62"/>
  <c r="D62"/>
  <c r="I62"/>
  <c r="B75"/>
  <c r="D75"/>
  <c r="I75"/>
  <c r="D11"/>
  <c r="G11"/>
  <c r="D45" i="21" s="1"/>
  <c r="B24" i="30"/>
  <c r="D24"/>
  <c r="I24"/>
  <c r="B37"/>
  <c r="D37"/>
  <c r="I37"/>
  <c r="B50"/>
  <c r="D50"/>
  <c r="I50"/>
  <c r="B63"/>
  <c r="D63"/>
  <c r="I63"/>
  <c r="B76"/>
  <c r="D76"/>
  <c r="I76"/>
  <c r="D12"/>
  <c r="G12"/>
  <c r="D46" i="21" s="1"/>
  <c r="B25" i="30"/>
  <c r="D25"/>
  <c r="I25"/>
  <c r="B38"/>
  <c r="D38"/>
  <c r="I38"/>
  <c r="B51"/>
  <c r="D51"/>
  <c r="I51"/>
  <c r="B64"/>
  <c r="D64"/>
  <c r="I64"/>
  <c r="B77"/>
  <c r="D77"/>
  <c r="I77"/>
  <c r="D13"/>
  <c r="B26"/>
  <c r="D26"/>
  <c r="I26"/>
  <c r="B39"/>
  <c r="D39"/>
  <c r="B52"/>
  <c r="D52"/>
  <c r="B65"/>
  <c r="D65"/>
  <c r="B78"/>
  <c r="D78"/>
  <c r="I78"/>
  <c r="D15"/>
  <c r="G15"/>
  <c r="D49" i="21" s="1"/>
  <c r="B28" i="30"/>
  <c r="D28"/>
  <c r="I28"/>
  <c r="B41"/>
  <c r="D41"/>
  <c r="I41"/>
  <c r="B54"/>
  <c r="D54"/>
  <c r="I54"/>
  <c r="B67"/>
  <c r="D67"/>
  <c r="I67"/>
  <c r="B80"/>
  <c r="D80"/>
  <c r="I80"/>
  <c r="D16"/>
  <c r="G16"/>
  <c r="D50" i="21" s="1"/>
  <c r="B29" i="30"/>
  <c r="D29"/>
  <c r="I29"/>
  <c r="B42"/>
  <c r="D42"/>
  <c r="I42"/>
  <c r="B55"/>
  <c r="D55"/>
  <c r="I55"/>
  <c r="B68"/>
  <c r="D68"/>
  <c r="I68"/>
  <c r="B81"/>
  <c r="D81"/>
  <c r="I81"/>
  <c r="D17"/>
  <c r="G17"/>
  <c r="D51" i="21" s="1"/>
  <c r="B30" i="30"/>
  <c r="D30"/>
  <c r="I30"/>
  <c r="B43"/>
  <c r="D43"/>
  <c r="I43"/>
  <c r="B56"/>
  <c r="D56"/>
  <c r="I56"/>
  <c r="B69"/>
  <c r="D69"/>
  <c r="I69"/>
  <c r="B82"/>
  <c r="D82"/>
  <c r="I82"/>
  <c r="D18"/>
  <c r="B31"/>
  <c r="D31"/>
  <c r="I31"/>
  <c r="B44"/>
  <c r="D44"/>
  <c r="B57"/>
  <c r="D57"/>
  <c r="B70"/>
  <c r="D70"/>
  <c r="B83"/>
  <c r="D83"/>
  <c r="I83"/>
  <c r="B18"/>
  <c r="B11"/>
  <c r="B12"/>
  <c r="B13"/>
  <c r="B15"/>
  <c r="B16"/>
  <c r="B17"/>
  <c r="B10"/>
  <c r="B8"/>
  <c r="B21"/>
  <c r="B34"/>
  <c r="B47"/>
  <c r="B60"/>
  <c r="B73"/>
  <c r="E9"/>
  <c r="F9"/>
  <c r="G9"/>
  <c r="E22"/>
  <c r="F22"/>
  <c r="G22"/>
  <c r="H22"/>
  <c r="I22"/>
  <c r="E35"/>
  <c r="F35"/>
  <c r="G35"/>
  <c r="H35"/>
  <c r="I35"/>
  <c r="E48"/>
  <c r="G48"/>
  <c r="H48"/>
  <c r="I48"/>
  <c r="E61"/>
  <c r="F61"/>
  <c r="G61"/>
  <c r="H61"/>
  <c r="I61"/>
  <c r="G74"/>
  <c r="H74"/>
  <c r="I74"/>
  <c r="E16" i="29"/>
  <c r="AC8" i="32" s="1"/>
  <c r="AK8" s="1"/>
  <c r="AU8" s="1"/>
  <c r="E14" i="29"/>
  <c r="D32" i="32" s="1"/>
  <c r="E34" i="25"/>
  <c r="E29"/>
  <c r="D45"/>
  <c r="BC7" s="1"/>
  <c r="BC10" s="1"/>
  <c r="D31"/>
  <c r="AR7" s="1"/>
  <c r="D24"/>
  <c r="D17"/>
  <c r="Q7" s="1"/>
  <c r="Q10" s="1"/>
  <c r="E9" i="29"/>
  <c r="D14" i="25" s="1"/>
  <c r="D16" s="1"/>
  <c r="R8" s="1"/>
  <c r="R11" s="1"/>
  <c r="R15" s="1"/>
  <c r="G25" i="30" s="1"/>
  <c r="D5" i="25"/>
  <c r="B5"/>
  <c r="E13" i="29"/>
  <c r="D27" i="32" s="1"/>
  <c r="AI7" s="1"/>
  <c r="AI10" s="1"/>
  <c r="D32" i="25"/>
  <c r="AS8" s="1"/>
  <c r="D21"/>
  <c r="Z7" s="1"/>
  <c r="Z10" s="1"/>
  <c r="D4"/>
  <c r="D7" s="1"/>
  <c r="J10" s="1"/>
  <c r="Q39" i="21"/>
  <c r="P40"/>
  <c r="Q38"/>
  <c r="D43" i="25"/>
  <c r="E43"/>
  <c r="E42"/>
  <c r="D42"/>
  <c r="E41"/>
  <c r="D41"/>
  <c r="AL16"/>
  <c r="I52" i="30" s="1"/>
  <c r="E23" i="25"/>
  <c r="I31" i="7"/>
  <c r="E31"/>
  <c r="D31"/>
  <c r="E27" i="3"/>
  <c r="D27"/>
  <c r="Q22" i="21"/>
  <c r="P22"/>
  <c r="N22"/>
  <c r="Q21"/>
  <c r="P21"/>
  <c r="O21"/>
  <c r="N21"/>
  <c r="M21"/>
  <c r="V4"/>
  <c r="U3"/>
  <c r="V5" s="1"/>
  <c r="S3"/>
  <c r="T5" s="1"/>
  <c r="H8" i="27"/>
  <c r="D26"/>
  <c r="D27"/>
  <c r="D28"/>
  <c r="D30"/>
  <c r="D31"/>
  <c r="D32"/>
  <c r="D33"/>
  <c r="D25"/>
  <c r="D7"/>
  <c r="D8"/>
  <c r="D9"/>
  <c r="D10"/>
  <c r="D11"/>
  <c r="D12"/>
  <c r="D13"/>
  <c r="D14"/>
  <c r="D6"/>
  <c r="C23"/>
  <c r="C22"/>
  <c r="E12" s="1"/>
  <c r="C21"/>
  <c r="C20"/>
  <c r="E10"/>
  <c r="C18"/>
  <c r="C37"/>
  <c r="C17"/>
  <c r="E7"/>
  <c r="C16"/>
  <c r="E6"/>
  <c r="C15"/>
  <c r="C34"/>
  <c r="C14"/>
  <c r="C33"/>
  <c r="C13"/>
  <c r="C32"/>
  <c r="C12"/>
  <c r="C31" s="1"/>
  <c r="C11"/>
  <c r="C30" s="1"/>
  <c r="C10"/>
  <c r="C29" s="1"/>
  <c r="C9"/>
  <c r="C28"/>
  <c r="C8"/>
  <c r="C27" s="1"/>
  <c r="C7"/>
  <c r="C26" s="1"/>
  <c r="C6"/>
  <c r="C25" s="1"/>
  <c r="F5" i="21"/>
  <c r="G5"/>
  <c r="H5"/>
  <c r="E2"/>
  <c r="D2"/>
  <c r="C2"/>
  <c r="E1"/>
  <c r="D1"/>
  <c r="C1"/>
  <c r="AG22" i="24"/>
  <c r="Z8" i="26"/>
  <c r="R8"/>
  <c r="I106" i="30" s="1"/>
  <c r="AA22" i="24"/>
  <c r="B48" i="26"/>
  <c r="H48"/>
  <c r="H57"/>
  <c r="B57" s="1"/>
  <c r="P48"/>
  <c r="J48" s="1"/>
  <c r="D48" s="1"/>
  <c r="J8"/>
  <c r="E76"/>
  <c r="E77"/>
  <c r="E78"/>
  <c r="E75"/>
  <c r="D76"/>
  <c r="D77"/>
  <c r="D78"/>
  <c r="P49"/>
  <c r="J49" s="1"/>
  <c r="D49" s="1"/>
  <c r="P50"/>
  <c r="P51"/>
  <c r="P52"/>
  <c r="J52" s="1"/>
  <c r="D52" s="1"/>
  <c r="P53"/>
  <c r="J53"/>
  <c r="D53" s="1"/>
  <c r="P54"/>
  <c r="J54" s="1"/>
  <c r="D54" s="1"/>
  <c r="P55"/>
  <c r="J55" s="1"/>
  <c r="D55" s="1"/>
  <c r="P56"/>
  <c r="J56"/>
  <c r="D56" s="1"/>
  <c r="O49"/>
  <c r="C71"/>
  <c r="O50"/>
  <c r="O51"/>
  <c r="I51" s="1"/>
  <c r="C51"/>
  <c r="O52"/>
  <c r="I52" s="1"/>
  <c r="C52" s="1"/>
  <c r="O53"/>
  <c r="O54"/>
  <c r="C76" s="1"/>
  <c r="O55"/>
  <c r="C77" s="1"/>
  <c r="O56"/>
  <c r="C78" s="1"/>
  <c r="O48"/>
  <c r="C70"/>
  <c r="O47"/>
  <c r="H47"/>
  <c r="N47"/>
  <c r="B47"/>
  <c r="D28"/>
  <c r="D29"/>
  <c r="D30"/>
  <c r="D31"/>
  <c r="D32"/>
  <c r="D33"/>
  <c r="D34"/>
  <c r="D35"/>
  <c r="D27"/>
  <c r="C25"/>
  <c r="C18"/>
  <c r="E6" s="1"/>
  <c r="C19"/>
  <c r="E7" s="1"/>
  <c r="C20"/>
  <c r="C22"/>
  <c r="E10" s="1"/>
  <c r="C23"/>
  <c r="C42" s="1"/>
  <c r="C24"/>
  <c r="E12" s="1"/>
  <c r="C17"/>
  <c r="C36" s="1"/>
  <c r="O57" s="1"/>
  <c r="I57" s="1"/>
  <c r="C57" s="1"/>
  <c r="D10"/>
  <c r="D11"/>
  <c r="D12"/>
  <c r="D13"/>
  <c r="D14"/>
  <c r="D15"/>
  <c r="D16"/>
  <c r="C9"/>
  <c r="C28" s="1"/>
  <c r="C10"/>
  <c r="C29" s="1"/>
  <c r="C11"/>
  <c r="C30" s="1"/>
  <c r="C12"/>
  <c r="C31"/>
  <c r="C13"/>
  <c r="C32" s="1"/>
  <c r="C14"/>
  <c r="C33" s="1"/>
  <c r="C15"/>
  <c r="C34" s="1"/>
  <c r="C16"/>
  <c r="C35"/>
  <c r="C8"/>
  <c r="C27" s="1"/>
  <c r="C5"/>
  <c r="C3"/>
  <c r="C4"/>
  <c r="C2"/>
  <c r="C13" i="4"/>
  <c r="F13" s="1"/>
  <c r="C5" i="2"/>
  <c r="B5"/>
  <c r="C7"/>
  <c r="B7"/>
  <c r="BF16" i="25"/>
  <c r="AD16"/>
  <c r="I39" i="30" s="1"/>
  <c r="L16" i="25"/>
  <c r="G13" i="30" s="1"/>
  <c r="D47" i="21" s="1"/>
  <c r="BC11" i="25"/>
  <c r="BE8"/>
  <c r="BE10"/>
  <c r="BA8"/>
  <c r="BB2"/>
  <c r="F74" i="30" s="1"/>
  <c r="BA2" i="25"/>
  <c r="E74" i="30" s="1"/>
  <c r="AH11" i="25"/>
  <c r="AQ11" s="1"/>
  <c r="AB11"/>
  <c r="AC10"/>
  <c r="AK10" s="1"/>
  <c r="AU10" s="1"/>
  <c r="I11"/>
  <c r="I10"/>
  <c r="C1"/>
  <c r="F28" i="7"/>
  <c r="F27"/>
  <c r="R5" i="1"/>
  <c r="R6"/>
  <c r="R7"/>
  <c r="R8"/>
  <c r="R9"/>
  <c r="R10"/>
  <c r="R11"/>
  <c r="R12"/>
  <c r="R4"/>
  <c r="C20"/>
  <c r="C19"/>
  <c r="C18"/>
  <c r="J5"/>
  <c r="J6"/>
  <c r="J7"/>
  <c r="H12" i="27"/>
  <c r="J8" i="1"/>
  <c r="J9"/>
  <c r="J12" i="26" s="1"/>
  <c r="I97" i="30" s="1"/>
  <c r="J10" i="1"/>
  <c r="R12" i="26" s="1"/>
  <c r="I110" i="30" s="1"/>
  <c r="J11" i="1"/>
  <c r="Z12" i="26" s="1"/>
  <c r="I123" i="30" s="1"/>
  <c r="J12" i="1"/>
  <c r="J4"/>
  <c r="I5"/>
  <c r="I6"/>
  <c r="I7"/>
  <c r="H11" i="27" s="1"/>
  <c r="I8" i="1"/>
  <c r="I9"/>
  <c r="J11" i="26"/>
  <c r="I96" i="30" s="1"/>
  <c r="I10" i="1"/>
  <c r="R11" i="26" s="1"/>
  <c r="I109" i="30" s="1"/>
  <c r="I11" i="1"/>
  <c r="Z11" i="26"/>
  <c r="I122" i="30" s="1"/>
  <c r="I12" i="1"/>
  <c r="I4"/>
  <c r="H12"/>
  <c r="H3"/>
  <c r="N5"/>
  <c r="N6"/>
  <c r="N7"/>
  <c r="L22" i="4" s="1"/>
  <c r="N8" i="1"/>
  <c r="H20" s="1"/>
  <c r="N9"/>
  <c r="I20" s="1"/>
  <c r="N10"/>
  <c r="J20" s="1"/>
  <c r="N11"/>
  <c r="K20" s="1"/>
  <c r="N12"/>
  <c r="L20" s="1"/>
  <c r="I12" i="21" s="1"/>
  <c r="H135" i="30" s="1"/>
  <c r="N4" i="1"/>
  <c r="D20" s="1"/>
  <c r="M5"/>
  <c r="E19" s="1"/>
  <c r="M6"/>
  <c r="F19" s="1"/>
  <c r="M7"/>
  <c r="M8"/>
  <c r="H19" s="1"/>
  <c r="M9"/>
  <c r="M10"/>
  <c r="J19" s="1"/>
  <c r="M11"/>
  <c r="M12"/>
  <c r="L19" s="1"/>
  <c r="I11" i="21" s="1"/>
  <c r="H134" i="30" s="1"/>
  <c r="M4" i="1"/>
  <c r="L7"/>
  <c r="J13" i="13" s="1"/>
  <c r="L8" i="1"/>
  <c r="H18" s="1"/>
  <c r="L9"/>
  <c r="I18" s="1"/>
  <c r="L10"/>
  <c r="J18" s="1"/>
  <c r="L11"/>
  <c r="L12"/>
  <c r="L18" s="1"/>
  <c r="D5"/>
  <c r="E17" s="1"/>
  <c r="D6"/>
  <c r="D7"/>
  <c r="I14" i="13" s="1"/>
  <c r="D32" i="14" s="1"/>
  <c r="D8" i="1"/>
  <c r="H17" s="1"/>
  <c r="D9"/>
  <c r="I17" s="1"/>
  <c r="D10"/>
  <c r="J17" s="1"/>
  <c r="D11"/>
  <c r="D12"/>
  <c r="D4"/>
  <c r="D17" s="1"/>
  <c r="C5"/>
  <c r="E16" s="1"/>
  <c r="C6"/>
  <c r="F16" s="1"/>
  <c r="C7"/>
  <c r="H17" i="13" s="1"/>
  <c r="C8" i="1"/>
  <c r="H16" s="1"/>
  <c r="C9"/>
  <c r="C6" i="14" s="1"/>
  <c r="C10" i="1"/>
  <c r="C11"/>
  <c r="K16" s="1"/>
  <c r="C12"/>
  <c r="L16" s="1"/>
  <c r="I7" i="21" s="1"/>
  <c r="H129" i="30" s="1"/>
  <c r="C4" i="1"/>
  <c r="B5"/>
  <c r="E15" s="1"/>
  <c r="B6"/>
  <c r="F15" s="1"/>
  <c r="B7"/>
  <c r="B8"/>
  <c r="B9"/>
  <c r="B10"/>
  <c r="J15" s="1"/>
  <c r="B11"/>
  <c r="B12"/>
  <c r="AE35" i="24"/>
  <c r="G12" i="1" s="1"/>
  <c r="AD35" i="24"/>
  <c r="F12" i="1" s="1"/>
  <c r="W35" i="24"/>
  <c r="V35"/>
  <c r="AE34"/>
  <c r="G11" i="1" s="1"/>
  <c r="AD34" i="24"/>
  <c r="F11" i="1" s="1"/>
  <c r="V34" i="24"/>
  <c r="AE33"/>
  <c r="G10" i="1" s="1"/>
  <c r="AD33" i="24"/>
  <c r="F10" i="1" s="1"/>
  <c r="W33" i="24"/>
  <c r="V33"/>
  <c r="AE32"/>
  <c r="G9" i="1" s="1"/>
  <c r="AD32" i="24"/>
  <c r="F9" i="1" s="1"/>
  <c r="W32" i="24"/>
  <c r="V32"/>
  <c r="AE31"/>
  <c r="AD31"/>
  <c r="F8" i="1" s="1"/>
  <c r="W31" i="24"/>
  <c r="V31"/>
  <c r="AE30"/>
  <c r="G7" i="1" s="1"/>
  <c r="AD30" i="24"/>
  <c r="F7" i="1" s="1"/>
  <c r="W30" i="24"/>
  <c r="V30"/>
  <c r="AE29"/>
  <c r="G6" i="1" s="1"/>
  <c r="AD29" i="24"/>
  <c r="F6" i="1" s="1"/>
  <c r="W29" i="24"/>
  <c r="V29"/>
  <c r="AE28"/>
  <c r="G5" i="1" s="1"/>
  <c r="AD28" i="24"/>
  <c r="F5" i="1" s="1"/>
  <c r="V28" i="24"/>
  <c r="AE27"/>
  <c r="G4" i="1" s="1"/>
  <c r="AD27" i="24"/>
  <c r="F4" i="1" s="1"/>
  <c r="V27" i="24"/>
  <c r="AG25"/>
  <c r="AD25"/>
  <c r="AA25"/>
  <c r="AG24"/>
  <c r="AD24"/>
  <c r="AG23"/>
  <c r="AD23"/>
  <c r="AD22"/>
  <c r="AG21"/>
  <c r="AD21"/>
  <c r="AG20"/>
  <c r="AD20"/>
  <c r="AG19"/>
  <c r="AD19"/>
  <c r="AG18"/>
  <c r="AD18"/>
  <c r="AG17"/>
  <c r="AD17"/>
  <c r="AE10"/>
  <c r="Y34"/>
  <c r="E11" i="1" s="1"/>
  <c r="AE9" i="24"/>
  <c r="AA23"/>
  <c r="AA21"/>
  <c r="AE6"/>
  <c r="Y30" s="1"/>
  <c r="E7" i="1" s="1"/>
  <c r="P20" i="24"/>
  <c r="AE5"/>
  <c r="AA19"/>
  <c r="X5"/>
  <c r="AE4"/>
  <c r="AC17"/>
  <c r="M16" i="7"/>
  <c r="D9" s="1"/>
  <c r="G35" i="22"/>
  <c r="G36" s="1"/>
  <c r="I30" i="17"/>
  <c r="H28"/>
  <c r="I28" s="1"/>
  <c r="J25"/>
  <c r="E23"/>
  <c r="G23"/>
  <c r="F23"/>
  <c r="H23" s="1"/>
  <c r="I23" s="1"/>
  <c r="G29"/>
  <c r="E29"/>
  <c r="H29" s="1"/>
  <c r="I29" s="1"/>
  <c r="F29"/>
  <c r="E30"/>
  <c r="H30" s="1"/>
  <c r="F30"/>
  <c r="G30"/>
  <c r="E28"/>
  <c r="C29"/>
  <c r="C30"/>
  <c r="D8" i="7"/>
  <c r="E8" s="1"/>
  <c r="J18" i="13"/>
  <c r="L10" i="5"/>
  <c r="M10"/>
  <c r="M11"/>
  <c r="N10"/>
  <c r="L11"/>
  <c r="N11"/>
  <c r="K10"/>
  <c r="K11" s="1"/>
  <c r="K4"/>
  <c r="K5" s="1"/>
  <c r="K6" s="1"/>
  <c r="J33" i="17"/>
  <c r="K33"/>
  <c r="L33"/>
  <c r="J34"/>
  <c r="O34" s="1"/>
  <c r="K34"/>
  <c r="L34"/>
  <c r="J26"/>
  <c r="E35" i="22"/>
  <c r="E19"/>
  <c r="E20" s="1"/>
  <c r="E21" s="1"/>
  <c r="E22" s="1"/>
  <c r="C53"/>
  <c r="C52"/>
  <c r="C51"/>
  <c r="C50"/>
  <c r="C48"/>
  <c r="C47"/>
  <c r="C46"/>
  <c r="C45"/>
  <c r="C43"/>
  <c r="F41"/>
  <c r="E41"/>
  <c r="D36"/>
  <c r="D37" s="1"/>
  <c r="D38" s="1"/>
  <c r="F35"/>
  <c r="E36"/>
  <c r="E37"/>
  <c r="E38" s="1"/>
  <c r="E24"/>
  <c r="E25" s="1"/>
  <c r="E26" s="1"/>
  <c r="E28" s="1"/>
  <c r="E29" s="1"/>
  <c r="E30" s="1"/>
  <c r="E32" s="1"/>
  <c r="E33" s="1"/>
  <c r="D24"/>
  <c r="D25"/>
  <c r="D26" s="1"/>
  <c r="D28" s="1"/>
  <c r="D29" s="1"/>
  <c r="D30"/>
  <c r="D32" s="1"/>
  <c r="D33" s="1"/>
  <c r="D20"/>
  <c r="D21" s="1"/>
  <c r="D22" s="1"/>
  <c r="F19"/>
  <c r="C19"/>
  <c r="E8"/>
  <c r="E9" s="1"/>
  <c r="E10" s="1"/>
  <c r="E12" s="1"/>
  <c r="E13" s="1"/>
  <c r="E14" s="1"/>
  <c r="E16" s="1"/>
  <c r="E17" s="1"/>
  <c r="D8"/>
  <c r="D9"/>
  <c r="D10" s="1"/>
  <c r="D12" s="1"/>
  <c r="D13" s="1"/>
  <c r="D14" s="1"/>
  <c r="D16" s="1"/>
  <c r="D17" s="1"/>
  <c r="F6"/>
  <c r="C6"/>
  <c r="D43" s="1"/>
  <c r="F11" i="5"/>
  <c r="H11" s="1"/>
  <c r="F10"/>
  <c r="A45" i="14"/>
  <c r="A44"/>
  <c r="A43"/>
  <c r="A42"/>
  <c r="I21" i="18"/>
  <c r="K29"/>
  <c r="K30"/>
  <c r="K31"/>
  <c r="J30"/>
  <c r="J31"/>
  <c r="J29"/>
  <c r="K28"/>
  <c r="J28"/>
  <c r="I30"/>
  <c r="I31"/>
  <c r="I29"/>
  <c r="H30"/>
  <c r="H31"/>
  <c r="H29"/>
  <c r="I28"/>
  <c r="E28"/>
  <c r="F22" i="4"/>
  <c r="F20"/>
  <c r="F18"/>
  <c r="F15"/>
  <c r="F14"/>
  <c r="D24" i="15"/>
  <c r="D25" s="1"/>
  <c r="D26"/>
  <c r="D28" s="1"/>
  <c r="D29" s="1"/>
  <c r="D30" s="1"/>
  <c r="D32" s="1"/>
  <c r="D33" s="1"/>
  <c r="D8"/>
  <c r="D9" s="1"/>
  <c r="D10"/>
  <c r="D12" s="1"/>
  <c r="D13" s="1"/>
  <c r="D14" s="1"/>
  <c r="D16" s="1"/>
  <c r="D17" s="1"/>
  <c r="V24" i="18"/>
  <c r="W24"/>
  <c r="U24"/>
  <c r="A4" i="20"/>
  <c r="A5" s="1"/>
  <c r="L5" i="5"/>
  <c r="L6" s="1"/>
  <c r="M4"/>
  <c r="M5" s="1"/>
  <c r="M6" s="1"/>
  <c r="N4"/>
  <c r="N5"/>
  <c r="N6" s="1"/>
  <c r="D17"/>
  <c r="D9"/>
  <c r="E6" i="22"/>
  <c r="D4" i="5"/>
  <c r="L26" i="17"/>
  <c r="N26" s="1"/>
  <c r="L27"/>
  <c r="L28"/>
  <c r="L25"/>
  <c r="K26"/>
  <c r="K27"/>
  <c r="K28"/>
  <c r="K25"/>
  <c r="O25" s="1"/>
  <c r="J27"/>
  <c r="J28"/>
  <c r="O28" s="1"/>
  <c r="G24"/>
  <c r="N24" s="1"/>
  <c r="G25"/>
  <c r="G26"/>
  <c r="G27"/>
  <c r="G28"/>
  <c r="G31"/>
  <c r="G32"/>
  <c r="G33"/>
  <c r="G34"/>
  <c r="H34" s="1"/>
  <c r="F24"/>
  <c r="F25"/>
  <c r="F26"/>
  <c r="F27"/>
  <c r="F28"/>
  <c r="F31"/>
  <c r="H31" s="1"/>
  <c r="I31" s="1"/>
  <c r="F32"/>
  <c r="F33"/>
  <c r="H33" s="1"/>
  <c r="I33" s="1"/>
  <c r="E24"/>
  <c r="E25"/>
  <c r="H25" s="1"/>
  <c r="I25" s="1"/>
  <c r="E26"/>
  <c r="H26" s="1"/>
  <c r="I26" s="1"/>
  <c r="E27"/>
  <c r="H27" s="1"/>
  <c r="I27" s="1"/>
  <c r="E31"/>
  <c r="N31"/>
  <c r="E32"/>
  <c r="N32"/>
  <c r="E33"/>
  <c r="N23"/>
  <c r="C24"/>
  <c r="C25"/>
  <c r="C26"/>
  <c r="C27"/>
  <c r="C28"/>
  <c r="C31"/>
  <c r="C32"/>
  <c r="C33"/>
  <c r="C34"/>
  <c r="C23"/>
  <c r="F34"/>
  <c r="N12" i="18"/>
  <c r="D32" s="1"/>
  <c r="C15"/>
  <c r="G15" s="1"/>
  <c r="P15"/>
  <c r="I22"/>
  <c r="I23"/>
  <c r="R23" s="1"/>
  <c r="G22"/>
  <c r="N22"/>
  <c r="L30" s="1"/>
  <c r="G23"/>
  <c r="N23" s="1"/>
  <c r="L31"/>
  <c r="G21"/>
  <c r="N21"/>
  <c r="L29" s="1"/>
  <c r="I7"/>
  <c r="H19"/>
  <c r="I15"/>
  <c r="I9"/>
  <c r="I8"/>
  <c r="H14"/>
  <c r="G14"/>
  <c r="O14" s="1"/>
  <c r="G9"/>
  <c r="R9"/>
  <c r="H10"/>
  <c r="H11"/>
  <c r="H12"/>
  <c r="H13"/>
  <c r="G11"/>
  <c r="P11"/>
  <c r="G12"/>
  <c r="P12" s="1"/>
  <c r="O12"/>
  <c r="G13"/>
  <c r="P13"/>
  <c r="G10"/>
  <c r="O10"/>
  <c r="G8"/>
  <c r="O8"/>
  <c r="G7"/>
  <c r="Q7"/>
  <c r="F3" i="19"/>
  <c r="F2"/>
  <c r="G2" s="1"/>
  <c r="C33" i="16"/>
  <c r="C34"/>
  <c r="C35"/>
  <c r="C24"/>
  <c r="C25"/>
  <c r="C27"/>
  <c r="C28"/>
  <c r="C29"/>
  <c r="C30"/>
  <c r="C32"/>
  <c r="C23"/>
  <c r="F41" i="15"/>
  <c r="E41"/>
  <c r="C52"/>
  <c r="C53"/>
  <c r="C45"/>
  <c r="C46"/>
  <c r="C47"/>
  <c r="C48"/>
  <c r="C50"/>
  <c r="C51"/>
  <c r="C43"/>
  <c r="D36"/>
  <c r="D37" s="1"/>
  <c r="D38" s="1"/>
  <c r="E35"/>
  <c r="E24"/>
  <c r="E25" s="1"/>
  <c r="E26" s="1"/>
  <c r="E28" s="1"/>
  <c r="E29" s="1"/>
  <c r="E30" s="1"/>
  <c r="E32" s="1"/>
  <c r="E33" s="1"/>
  <c r="E36"/>
  <c r="E37" s="1"/>
  <c r="E38" s="1"/>
  <c r="F35"/>
  <c r="F24" s="1"/>
  <c r="F25" s="1"/>
  <c r="F26" s="1"/>
  <c r="F28" s="1"/>
  <c r="F29" s="1"/>
  <c r="F30" s="1"/>
  <c r="F32" s="1"/>
  <c r="F33" s="1"/>
  <c r="E6" i="16"/>
  <c r="F6"/>
  <c r="F15"/>
  <c r="F16" s="1"/>
  <c r="F17"/>
  <c r="F18" s="1"/>
  <c r="C15"/>
  <c r="F10"/>
  <c r="F11" s="1"/>
  <c r="F12" s="1"/>
  <c r="F13" s="1"/>
  <c r="C10"/>
  <c r="F8"/>
  <c r="E8"/>
  <c r="C8"/>
  <c r="D25" s="1"/>
  <c r="F7"/>
  <c r="C7"/>
  <c r="D24" s="1"/>
  <c r="D20" i="15"/>
  <c r="D21" s="1"/>
  <c r="D22" s="1"/>
  <c r="E19"/>
  <c r="F19"/>
  <c r="C19"/>
  <c r="E6"/>
  <c r="F6"/>
  <c r="C6"/>
  <c r="D43" s="1"/>
  <c r="F16" i="5"/>
  <c r="G8" i="16"/>
  <c r="F9" i="5"/>
  <c r="G6" i="16" s="1"/>
  <c r="G6" i="22"/>
  <c r="B9" i="5"/>
  <c r="C6" i="16" s="1"/>
  <c r="D23" s="1"/>
  <c r="J23" i="13"/>
  <c r="C17"/>
  <c r="F17"/>
  <c r="C22"/>
  <c r="F22"/>
  <c r="F14"/>
  <c r="H14" s="1"/>
  <c r="C32" i="14" s="1"/>
  <c r="F13" i="13"/>
  <c r="D18" i="7"/>
  <c r="F6" i="5"/>
  <c r="D15" i="3"/>
  <c r="D21" s="1"/>
  <c r="D16"/>
  <c r="H8" s="1"/>
  <c r="D17"/>
  <c r="I8" s="1"/>
  <c r="D14" i="7"/>
  <c r="D15"/>
  <c r="D16"/>
  <c r="H8" s="1"/>
  <c r="D22"/>
  <c r="H18" s="1"/>
  <c r="D17"/>
  <c r="F4" i="5"/>
  <c r="G6" i="15" s="1"/>
  <c r="F5" i="5"/>
  <c r="G19" i="15"/>
  <c r="G20" s="1"/>
  <c r="G21" s="1"/>
  <c r="D45"/>
  <c r="H5" i="5"/>
  <c r="H6"/>
  <c r="H16"/>
  <c r="N8" i="18"/>
  <c r="R22"/>
  <c r="N13"/>
  <c r="D33" s="1"/>
  <c r="N11"/>
  <c r="R7"/>
  <c r="C17" i="15"/>
  <c r="C16" s="1"/>
  <c r="C20"/>
  <c r="E34" i="17"/>
  <c r="N33"/>
  <c r="N34"/>
  <c r="I34"/>
  <c r="G35" i="15"/>
  <c r="G24" s="1"/>
  <c r="G25" s="1"/>
  <c r="G26" s="1"/>
  <c r="N15" i="18"/>
  <c r="D35" s="1"/>
  <c r="N10"/>
  <c r="D31" s="1"/>
  <c r="N7"/>
  <c r="D29" s="1"/>
  <c r="P7"/>
  <c r="Q15"/>
  <c r="Q13"/>
  <c r="O13"/>
  <c r="Q11"/>
  <c r="O11"/>
  <c r="P10"/>
  <c r="O9"/>
  <c r="P8"/>
  <c r="R21"/>
  <c r="Y26" s="1"/>
  <c r="D13" i="5"/>
  <c r="F13" s="1"/>
  <c r="H13" s="1"/>
  <c r="O7" i="18"/>
  <c r="Q12"/>
  <c r="Q10"/>
  <c r="Q8"/>
  <c r="O26" i="17"/>
  <c r="G37" i="22"/>
  <c r="G38" s="1"/>
  <c r="G36" i="15"/>
  <c r="G37" s="1"/>
  <c r="E7" i="16"/>
  <c r="D14" i="5"/>
  <c r="E10" i="16" s="1"/>
  <c r="E11" s="1"/>
  <c r="E12"/>
  <c r="E13" s="1"/>
  <c r="G28" i="15"/>
  <c r="F76" i="26"/>
  <c r="D22" i="3"/>
  <c r="H18" s="1"/>
  <c r="C41" i="26"/>
  <c r="F78"/>
  <c r="G18" i="3"/>
  <c r="G8"/>
  <c r="C36" i="27"/>
  <c r="C43" i="26"/>
  <c r="O64" s="1"/>
  <c r="I64" s="1"/>
  <c r="C64"/>
  <c r="D27" i="25"/>
  <c r="AI7" s="1"/>
  <c r="AI10" s="1"/>
  <c r="C35" i="27"/>
  <c r="C38" i="26"/>
  <c r="C81" s="1"/>
  <c r="E5" i="27"/>
  <c r="E11" i="26"/>
  <c r="C41" i="27"/>
  <c r="C37" i="26"/>
  <c r="C39" i="27"/>
  <c r="E8"/>
  <c r="C79" i="26"/>
  <c r="C86"/>
  <c r="E5"/>
  <c r="D37" i="25"/>
  <c r="AC8" s="1"/>
  <c r="R5" i="21"/>
  <c r="Y29" i="24"/>
  <c r="E6" i="1" s="1"/>
  <c r="V17" i="24"/>
  <c r="C73" i="26"/>
  <c r="I56"/>
  <c r="C56" s="1"/>
  <c r="AC21" i="24"/>
  <c r="Z24"/>
  <c r="I48" i="26"/>
  <c r="C48" s="1"/>
  <c r="I55"/>
  <c r="C55" s="1"/>
  <c r="I54"/>
  <c r="C54" s="1"/>
  <c r="I16" i="1"/>
  <c r="I49" i="26"/>
  <c r="C49" s="1"/>
  <c r="H6" i="1"/>
  <c r="C74" i="26"/>
  <c r="H18" i="4"/>
  <c r="S15" i="25"/>
  <c r="H25" i="30" s="1"/>
  <c r="S15" i="32"/>
  <c r="AC24" i="24"/>
  <c r="H9" i="1"/>
  <c r="J10" i="26"/>
  <c r="V20" i="24"/>
  <c r="H10" i="1"/>
  <c r="R10" i="26" s="1"/>
  <c r="I108" i="30" s="1"/>
  <c r="Z32" i="24"/>
  <c r="AB32" s="1"/>
  <c r="H22" i="4"/>
  <c r="V21" i="24"/>
  <c r="AF24"/>
  <c r="H14" i="4"/>
  <c r="C26" i="14" s="1"/>
  <c r="J35" i="22" s="1"/>
  <c r="J50" i="26"/>
  <c r="D50" s="1"/>
  <c r="AC18" i="24"/>
  <c r="H7" i="1"/>
  <c r="Z21" i="24"/>
  <c r="V19"/>
  <c r="AA20"/>
  <c r="H13" i="13"/>
  <c r="C31" i="14" s="1"/>
  <c r="S21" i="24"/>
  <c r="O10" i="1"/>
  <c r="G5" i="14" s="1"/>
  <c r="O7" i="1"/>
  <c r="Z30" i="24"/>
  <c r="AB30" s="1"/>
  <c r="B5" i="14"/>
  <c r="I6" i="22" s="1"/>
  <c r="K22" i="4"/>
  <c r="J51" i="26"/>
  <c r="D51" s="1"/>
  <c r="Z35" i="24"/>
  <c r="F17" i="1"/>
  <c r="D19"/>
  <c r="O11"/>
  <c r="K21" s="1"/>
  <c r="Z34" i="24"/>
  <c r="AB34" s="1"/>
  <c r="Z31"/>
  <c r="AB31" s="1"/>
  <c r="I95" i="30"/>
  <c r="I98"/>
  <c r="I111"/>
  <c r="AA17" i="24"/>
  <c r="H4" i="1"/>
  <c r="Y33" i="24"/>
  <c r="E10" i="1" s="1"/>
  <c r="V24" i="24"/>
  <c r="H8" i="1"/>
  <c r="AC20" i="24"/>
  <c r="Z22"/>
  <c r="H5" i="1"/>
  <c r="AC19" i="24"/>
  <c r="AF19"/>
  <c r="P18"/>
  <c r="P19"/>
  <c r="H11" i="1"/>
  <c r="Z10" i="26" s="1"/>
  <c r="I121" i="30" s="1"/>
  <c r="Y32" i="24"/>
  <c r="E9" i="1" s="1"/>
  <c r="Y31" i="24"/>
  <c r="AA31" s="1"/>
  <c r="AA24"/>
  <c r="I124" i="30"/>
  <c r="AR11" i="32" l="1"/>
  <c r="Q8"/>
  <c r="Q11" s="1"/>
  <c r="AC11"/>
  <c r="AC19" s="1"/>
  <c r="AK19" s="1"/>
  <c r="AU19" s="1"/>
  <c r="AI8"/>
  <c r="AI11" s="1"/>
  <c r="AI18" s="1"/>
  <c r="AR10" i="31"/>
  <c r="G161" i="30"/>
  <c r="G156"/>
  <c r="G163"/>
  <c r="G158"/>
  <c r="G162"/>
  <c r="G157"/>
  <c r="I18" i="4"/>
  <c r="AC13" i="32"/>
  <c r="P7" i="1"/>
  <c r="T7" s="1"/>
  <c r="Z15" i="31"/>
  <c r="K17" i="1"/>
  <c r="I6" i="15"/>
  <c r="V7" i="26"/>
  <c r="E118" i="30" s="1"/>
  <c r="E24" i="21" s="1"/>
  <c r="I20" i="4"/>
  <c r="I14"/>
  <c r="D26" i="14" s="1"/>
  <c r="K35" i="15" s="1"/>
  <c r="J14" i="4"/>
  <c r="G17" i="1"/>
  <c r="AB18" i="32"/>
  <c r="D36" i="27"/>
  <c r="G7" s="1"/>
  <c r="P5" i="1"/>
  <c r="U5" s="1"/>
  <c r="L17" i="13"/>
  <c r="S19" i="32"/>
  <c r="K19"/>
  <c r="R19"/>
  <c r="J19" i="25"/>
  <c r="J17" i="4"/>
  <c r="D6" i="14"/>
  <c r="I17" i="13"/>
  <c r="I13"/>
  <c r="D31" i="14" s="1"/>
  <c r="J18" i="25"/>
  <c r="S18" i="32"/>
  <c r="R18"/>
  <c r="K18"/>
  <c r="K19" i="1"/>
  <c r="AB19" i="32"/>
  <c r="R20"/>
  <c r="AI20"/>
  <c r="S20"/>
  <c r="K20"/>
  <c r="AR20" s="1"/>
  <c r="N37" i="7"/>
  <c r="E217" i="30"/>
  <c r="S37" i="7"/>
  <c r="J217" i="30"/>
  <c r="E18" i="7"/>
  <c r="F32"/>
  <c r="F217" i="30"/>
  <c r="O37" i="7"/>
  <c r="Z19" i="31"/>
  <c r="Z18"/>
  <c r="Z20"/>
  <c r="AI20"/>
  <c r="AI18"/>
  <c r="AI19"/>
  <c r="S20"/>
  <c r="S19"/>
  <c r="S18"/>
  <c r="K18"/>
  <c r="AR18" s="1"/>
  <c r="K20"/>
  <c r="AR20" s="1"/>
  <c r="K19"/>
  <c r="AR19" s="1"/>
  <c r="AS18"/>
  <c r="AS20"/>
  <c r="AS19"/>
  <c r="Q7"/>
  <c r="Q10" s="1"/>
  <c r="AR7"/>
  <c r="G18" i="30"/>
  <c r="D52" i="21" s="1"/>
  <c r="L14" i="4"/>
  <c r="D24" i="26"/>
  <c r="L13" i="13"/>
  <c r="G20" i="1"/>
  <c r="R20" i="25"/>
  <c r="G30" i="30" s="1"/>
  <c r="J64" i="26"/>
  <c r="P12" s="1"/>
  <c r="G110" i="30" s="1"/>
  <c r="D22" i="27"/>
  <c r="F12" s="1"/>
  <c r="L22" i="13"/>
  <c r="E20" i="1"/>
  <c r="D40" i="27"/>
  <c r="G11" s="1"/>
  <c r="BC19" i="25"/>
  <c r="G81" i="30" s="1"/>
  <c r="K19" i="25"/>
  <c r="AR19" s="1"/>
  <c r="F68" i="30" s="1"/>
  <c r="D21" i="27"/>
  <c r="F11" s="1"/>
  <c r="S19" i="25"/>
  <c r="H29" i="30" s="1"/>
  <c r="R19" i="25"/>
  <c r="G29" i="30" s="1"/>
  <c r="BB19" i="25"/>
  <c r="F81" i="30" s="1"/>
  <c r="D5" i="14"/>
  <c r="K6" i="16" s="1"/>
  <c r="S14" i="25"/>
  <c r="H24" i="30" s="1"/>
  <c r="R14" i="25"/>
  <c r="G24" i="30" s="1"/>
  <c r="C15" i="14"/>
  <c r="J24" i="15" s="1"/>
  <c r="H6" i="26"/>
  <c r="G91" i="30" s="1"/>
  <c r="G26" i="45" s="1"/>
  <c r="H20" i="4"/>
  <c r="J19" i="15"/>
  <c r="J35"/>
  <c r="G16" i="1"/>
  <c r="Z14" i="31"/>
  <c r="P12" i="1"/>
  <c r="T12" s="1"/>
  <c r="AI14" i="31"/>
  <c r="P58" i="26"/>
  <c r="X6" s="1"/>
  <c r="G117" i="30" s="1"/>
  <c r="AS14" i="31"/>
  <c r="S14"/>
  <c r="C7" i="20"/>
  <c r="F6" s="1"/>
  <c r="K14" i="31"/>
  <c r="AR14" s="1"/>
  <c r="L15" i="1"/>
  <c r="I6" i="21" s="1"/>
  <c r="H128" i="30" s="1"/>
  <c r="G18" i="4"/>
  <c r="S13" i="32"/>
  <c r="G22" i="13"/>
  <c r="B34" i="14" s="1"/>
  <c r="B15"/>
  <c r="I24" i="15" s="1"/>
  <c r="AI13" i="31"/>
  <c r="H15" i="1"/>
  <c r="G13" i="13"/>
  <c r="B31" i="14" s="1"/>
  <c r="S13" i="25"/>
  <c r="H23" i="30" s="1"/>
  <c r="S13" i="31"/>
  <c r="AS13"/>
  <c r="P8" i="1"/>
  <c r="Q8" s="1"/>
  <c r="R13" i="25"/>
  <c r="G23" i="30" s="1"/>
  <c r="G17" i="13"/>
  <c r="P10" i="1"/>
  <c r="S10" s="1"/>
  <c r="P6"/>
  <c r="Q6" s="1"/>
  <c r="R13" i="32"/>
  <c r="D15" i="1"/>
  <c r="E79" i="26"/>
  <c r="Q5" s="1"/>
  <c r="H103" i="30" s="1"/>
  <c r="P57" i="26"/>
  <c r="J14" i="13"/>
  <c r="AA34" i="24"/>
  <c r="J19" i="4"/>
  <c r="J21"/>
  <c r="AA29" i="24"/>
  <c r="J22" i="13"/>
  <c r="J17"/>
  <c r="D62" i="26"/>
  <c r="AA30" i="24"/>
  <c r="G6" i="14"/>
  <c r="J19" i="13"/>
  <c r="M14" i="3"/>
  <c r="J24" i="13"/>
  <c r="K18" i="25"/>
  <c r="D41" i="26"/>
  <c r="R18" i="25"/>
  <c r="E8" i="1"/>
  <c r="BB18" i="25"/>
  <c r="AA27" i="24"/>
  <c r="S18" i="25"/>
  <c r="P62" i="26"/>
  <c r="C9" i="20"/>
  <c r="H6" s="1"/>
  <c r="D18" i="1"/>
  <c r="J21"/>
  <c r="D22" i="26"/>
  <c r="AA33" i="24"/>
  <c r="D20" i="27"/>
  <c r="F10" s="1"/>
  <c r="AF23" i="24"/>
  <c r="V23"/>
  <c r="AC23"/>
  <c r="P22"/>
  <c r="AC22"/>
  <c r="S22"/>
  <c r="G21" i="1"/>
  <c r="J16" i="13"/>
  <c r="C16" i="16"/>
  <c r="D32"/>
  <c r="H5" i="26"/>
  <c r="G90" i="30" s="1"/>
  <c r="G25" i="45" s="1"/>
  <c r="AA32" i="24"/>
  <c r="I6" i="16"/>
  <c r="H10" i="27"/>
  <c r="G23" i="1"/>
  <c r="G24"/>
  <c r="J22" i="4" s="1"/>
  <c r="D64" i="26"/>
  <c r="H12" s="1"/>
  <c r="G97" i="30" s="1"/>
  <c r="D23" i="3"/>
  <c r="I18" s="1"/>
  <c r="J59" i="26"/>
  <c r="P7" s="1"/>
  <c r="G105" i="30" s="1"/>
  <c r="K15" i="1"/>
  <c r="AS15" i="31"/>
  <c r="D21" i="7"/>
  <c r="G18" s="1"/>
  <c r="G8"/>
  <c r="N25" i="17"/>
  <c r="E15" i="16"/>
  <c r="E16" s="1"/>
  <c r="E17" s="1"/>
  <c r="E18" s="1"/>
  <c r="F17" i="5"/>
  <c r="G19" i="22"/>
  <c r="H10" i="5"/>
  <c r="BB14" i="25"/>
  <c r="F76" i="30" s="1"/>
  <c r="S14" i="32"/>
  <c r="Z8"/>
  <c r="Z11" s="1"/>
  <c r="Z7"/>
  <c r="Z10" s="1"/>
  <c r="AB14"/>
  <c r="D17" i="27"/>
  <c r="F7" s="1"/>
  <c r="H7" i="26"/>
  <c r="G92" i="30" s="1"/>
  <c r="G27" i="45" s="1"/>
  <c r="BC14" i="25"/>
  <c r="G76" i="30" s="1"/>
  <c r="K14" i="25"/>
  <c r="P59" i="26"/>
  <c r="X7" s="1"/>
  <c r="G118" i="30" s="1"/>
  <c r="G15" i="1"/>
  <c r="G15" i="4"/>
  <c r="S15" i="31"/>
  <c r="F14" i="5"/>
  <c r="P14" i="18"/>
  <c r="N28" i="17"/>
  <c r="D46" i="15"/>
  <c r="C21"/>
  <c r="N14" i="18"/>
  <c r="D34" s="1"/>
  <c r="G22" i="15"/>
  <c r="D23" i="7"/>
  <c r="I8"/>
  <c r="F8"/>
  <c r="D20"/>
  <c r="F18" s="1"/>
  <c r="O15" i="18"/>
  <c r="O19" s="1"/>
  <c r="R15"/>
  <c r="E35" s="1"/>
  <c r="L20" i="4"/>
  <c r="G20"/>
  <c r="C17" i="22"/>
  <c r="C16" s="1"/>
  <c r="C20"/>
  <c r="D45"/>
  <c r="Y28" i="24"/>
  <c r="AA18"/>
  <c r="K18" i="1"/>
  <c r="M14" i="7"/>
  <c r="M15" s="1"/>
  <c r="G24" s="1"/>
  <c r="G18" i="1"/>
  <c r="M20" i="3"/>
  <c r="M20" i="7" s="1"/>
  <c r="M21" s="1"/>
  <c r="G32" s="1"/>
  <c r="Q43" s="1"/>
  <c r="D39" i="27"/>
  <c r="G10" s="1"/>
  <c r="Z28" i="24"/>
  <c r="AB28" s="1"/>
  <c r="Q11" i="31"/>
  <c r="AB7"/>
  <c r="AB10" s="1"/>
  <c r="P21" i="24"/>
  <c r="AF21"/>
  <c r="J20" i="25"/>
  <c r="I10" i="21"/>
  <c r="H133" i="30" s="1"/>
  <c r="G22" i="4"/>
  <c r="G14"/>
  <c r="AS7" i="32"/>
  <c r="AS10" s="1"/>
  <c r="AS8"/>
  <c r="AS11" s="1"/>
  <c r="AS20" s="1"/>
  <c r="K10"/>
  <c r="AR7"/>
  <c r="D15" i="27"/>
  <c r="F5" s="1"/>
  <c r="J58" i="26"/>
  <c r="P6" s="1"/>
  <c r="G104" i="30" s="1"/>
  <c r="J62" i="26"/>
  <c r="BB20" i="25"/>
  <c r="F82" i="30" s="1"/>
  <c r="C10" i="20"/>
  <c r="I6" s="1"/>
  <c r="C11"/>
  <c r="J6" s="1"/>
  <c r="G14" i="13"/>
  <c r="G7" i="16"/>
  <c r="Q14" i="18"/>
  <c r="G24" i="22"/>
  <c r="F36" i="15"/>
  <c r="F37" s="1"/>
  <c r="F38" s="1"/>
  <c r="E29" i="18"/>
  <c r="H4" i="5"/>
  <c r="H22" i="13"/>
  <c r="C34" i="14" s="1"/>
  <c r="I22" i="13"/>
  <c r="D34" i="14" s="1"/>
  <c r="F8" i="15"/>
  <c r="F9" s="1"/>
  <c r="F10" s="1"/>
  <c r="F12" s="1"/>
  <c r="F13" s="1"/>
  <c r="F14" s="1"/>
  <c r="F16" s="1"/>
  <c r="F17" s="1"/>
  <c r="F20"/>
  <c r="F21" s="1"/>
  <c r="F22" s="1"/>
  <c r="Q9" i="18"/>
  <c r="Q19" s="1"/>
  <c r="P9"/>
  <c r="P19" s="1"/>
  <c r="N9"/>
  <c r="N19" s="1"/>
  <c r="G19"/>
  <c r="I10"/>
  <c r="R8"/>
  <c r="E30" s="1"/>
  <c r="O27" i="17"/>
  <c r="N27"/>
  <c r="J15" i="4"/>
  <c r="H15"/>
  <c r="C28" i="14" s="1"/>
  <c r="J21" i="15" s="1"/>
  <c r="I15" i="4"/>
  <c r="D28" i="14" s="1"/>
  <c r="K37" i="15" s="1"/>
  <c r="L15" i="4"/>
  <c r="F24" i="22"/>
  <c r="F25" s="1"/>
  <c r="F26" s="1"/>
  <c r="F28" s="1"/>
  <c r="F29" s="1"/>
  <c r="F30" s="1"/>
  <c r="F32" s="1"/>
  <c r="F33" s="1"/>
  <c r="F36"/>
  <c r="F37" s="1"/>
  <c r="F38" s="1"/>
  <c r="H24" i="17"/>
  <c r="I24" s="1"/>
  <c r="L17" i="1"/>
  <c r="BB15" i="25" s="1"/>
  <c r="D15" i="14"/>
  <c r="K24" i="22" s="1"/>
  <c r="AI15" i="31"/>
  <c r="L14" i="13"/>
  <c r="L18" i="4"/>
  <c r="P10" i="31"/>
  <c r="Y7"/>
  <c r="Y10" s="1"/>
  <c r="Z13"/>
  <c r="S18" i="24"/>
  <c r="Z18"/>
  <c r="AF18"/>
  <c r="S23"/>
  <c r="P23"/>
  <c r="O6" i="1"/>
  <c r="F21" s="1"/>
  <c r="Z29" i="24"/>
  <c r="AB29" s="1"/>
  <c r="H32" i="17"/>
  <c r="I32" s="1"/>
  <c r="I22" i="4"/>
  <c r="BE7" i="25"/>
  <c r="BE15" s="1"/>
  <c r="H77" i="30" s="1"/>
  <c r="AB7" i="25"/>
  <c r="AB10" s="1"/>
  <c r="AB20" s="1"/>
  <c r="G43" i="30" s="1"/>
  <c r="D14" i="31"/>
  <c r="D16" s="1"/>
  <c r="R8" s="1"/>
  <c r="R11" s="1"/>
  <c r="D37"/>
  <c r="AC8" s="1"/>
  <c r="P24" i="24"/>
  <c r="H9" i="5"/>
  <c r="O33" i="17"/>
  <c r="BE9" i="25"/>
  <c r="D75" i="26"/>
  <c r="AR8" i="31"/>
  <c r="D138" i="30"/>
  <c r="Q10" i="32"/>
  <c r="Q19" s="1"/>
  <c r="S20" i="24"/>
  <c r="Z20"/>
  <c r="Z8" i="25"/>
  <c r="Z11" s="1"/>
  <c r="AR8" i="32"/>
  <c r="N24" i="15"/>
  <c r="N24" i="22"/>
  <c r="L21" i="1"/>
  <c r="BA7" i="25"/>
  <c r="T13" i="24"/>
  <c r="W14" s="1"/>
  <c r="N6" i="16"/>
  <c r="N6" i="22"/>
  <c r="J21" i="13"/>
  <c r="P9" i="1"/>
  <c r="S9" s="1"/>
  <c r="I15"/>
  <c r="M10" i="26"/>
  <c r="B95" i="30"/>
  <c r="D46" i="22"/>
  <c r="C21"/>
  <c r="B91" i="30"/>
  <c r="M6" i="26"/>
  <c r="C72"/>
  <c r="I50"/>
  <c r="C50" s="1"/>
  <c r="D34" i="27"/>
  <c r="J57" i="26"/>
  <c r="I19" i="1"/>
  <c r="D42" i="26"/>
  <c r="F77"/>
  <c r="D81"/>
  <c r="I7" s="1"/>
  <c r="D84"/>
  <c r="D79"/>
  <c r="E81"/>
  <c r="Q7" s="1"/>
  <c r="H105" i="30" s="1"/>
  <c r="E80" i="26"/>
  <c r="E85"/>
  <c r="Q11" s="1"/>
  <c r="H109" i="30" s="1"/>
  <c r="E84" i="26"/>
  <c r="N6" i="15"/>
  <c r="O58" i="26"/>
  <c r="I58" s="1"/>
  <c r="C58" s="1"/>
  <c r="C80"/>
  <c r="F18" i="3"/>
  <c r="F8"/>
  <c r="K20" i="25"/>
  <c r="S20"/>
  <c r="BC20"/>
  <c r="G82" i="30" s="1"/>
  <c r="F20" i="1"/>
  <c r="D43" i="26"/>
  <c r="P64"/>
  <c r="X12" s="1"/>
  <c r="G123" i="30" s="1"/>
  <c r="L13" i="4"/>
  <c r="G13"/>
  <c r="J13"/>
  <c r="I13"/>
  <c r="D23" i="14" s="1"/>
  <c r="H13" i="4"/>
  <c r="C23" i="14" s="1"/>
  <c r="K13" i="4"/>
  <c r="M12" i="26"/>
  <c r="B97" i="30"/>
  <c r="BE13" i="25"/>
  <c r="AB13" i="32"/>
  <c r="B6" i="14"/>
  <c r="D63" i="26"/>
  <c r="H11" s="1"/>
  <c r="G96" i="30" s="1"/>
  <c r="J63" i="26"/>
  <c r="E86"/>
  <c r="Q12" s="1"/>
  <c r="H110" i="30" s="1"/>
  <c r="AC11" i="25"/>
  <c r="AK8"/>
  <c r="AU8" s="1"/>
  <c r="M5" i="26"/>
  <c r="B90" i="30"/>
  <c r="B96"/>
  <c r="M11" i="26"/>
  <c r="C84"/>
  <c r="O62"/>
  <c r="I62" s="1"/>
  <c r="C62" s="1"/>
  <c r="D27" i="16"/>
  <c r="C11"/>
  <c r="F20" i="22"/>
  <c r="F21" s="1"/>
  <c r="F22" s="1"/>
  <c r="F8"/>
  <c r="F9" s="1"/>
  <c r="F10" s="1"/>
  <c r="F12" s="1"/>
  <c r="F13" s="1"/>
  <c r="F14" s="1"/>
  <c r="F16" s="1"/>
  <c r="F17" s="1"/>
  <c r="K17" i="13"/>
  <c r="K14" i="4"/>
  <c r="K18"/>
  <c r="K20"/>
  <c r="K22" i="13"/>
  <c r="K14"/>
  <c r="K13"/>
  <c r="G19" i="1"/>
  <c r="K15" i="4"/>
  <c r="B92" i="30"/>
  <c r="M7" i="26"/>
  <c r="C75"/>
  <c r="I53"/>
  <c r="C53" s="1"/>
  <c r="P7" i="32"/>
  <c r="J10"/>
  <c r="J18" s="1"/>
  <c r="P63" i="26"/>
  <c r="D35" i="27"/>
  <c r="G6" s="1"/>
  <c r="K19" i="15"/>
  <c r="G29"/>
  <c r="G38"/>
  <c r="G25" i="22"/>
  <c r="D16" i="1"/>
  <c r="P4"/>
  <c r="Q4" s="1"/>
  <c r="C5" i="14"/>
  <c r="J16" i="1"/>
  <c r="AC15" i="32"/>
  <c r="P11" i="1"/>
  <c r="O63" i="26"/>
  <c r="I63" s="1"/>
  <c r="C63" s="1"/>
  <c r="C85"/>
  <c r="C39"/>
  <c r="E8"/>
  <c r="C40" i="27"/>
  <c r="E11"/>
  <c r="P7" i="25"/>
  <c r="P10" s="1"/>
  <c r="P19" s="1"/>
  <c r="R15" i="32"/>
  <c r="R14"/>
  <c r="AB15"/>
  <c r="O59" i="26"/>
  <c r="I59" s="1"/>
  <c r="C59" s="1"/>
  <c r="D23"/>
  <c r="D16" i="27"/>
  <c r="E8" i="15"/>
  <c r="E9" s="1"/>
  <c r="E10" s="1"/>
  <c r="E12" s="1"/>
  <c r="E13" s="1"/>
  <c r="E14" s="1"/>
  <c r="E16" s="1"/>
  <c r="E17" s="1"/>
  <c r="E20"/>
  <c r="E21" s="1"/>
  <c r="E22" s="1"/>
  <c r="E13" i="26"/>
  <c r="C44"/>
  <c r="C42" i="27"/>
  <c r="E13"/>
  <c r="AS7" i="25"/>
  <c r="AS10" s="1"/>
  <c r="AS11"/>
  <c r="J10" i="31"/>
  <c r="D41" i="27"/>
  <c r="G12" s="1"/>
  <c r="BC18" i="25"/>
  <c r="G8" i="15"/>
  <c r="Q8" i="25"/>
  <c r="AR11"/>
  <c r="AR10"/>
  <c r="AI8"/>
  <c r="AI11" s="1"/>
  <c r="AI14" s="1"/>
  <c r="G50" i="30" s="1"/>
  <c r="AR8" i="25"/>
  <c r="Q15" i="32" l="1"/>
  <c r="AK11"/>
  <c r="AU11" s="1"/>
  <c r="Z13"/>
  <c r="AI13"/>
  <c r="AI16" s="1"/>
  <c r="AC18"/>
  <c r="AC14"/>
  <c r="AK14" s="1"/>
  <c r="AU14" s="1"/>
  <c r="AC20"/>
  <c r="AK20" s="1"/>
  <c r="AU20" s="1"/>
  <c r="AI19"/>
  <c r="AI21" s="1"/>
  <c r="AI15"/>
  <c r="Z15"/>
  <c r="Z18"/>
  <c r="Q18"/>
  <c r="Q21" s="1"/>
  <c r="AI14"/>
  <c r="AS19"/>
  <c r="Z20"/>
  <c r="J19"/>
  <c r="Q20"/>
  <c r="AS18"/>
  <c r="J20"/>
  <c r="Z19"/>
  <c r="Z21" s="1"/>
  <c r="G159" i="30"/>
  <c r="G164"/>
  <c r="N20" i="4"/>
  <c r="N18"/>
  <c r="O18" s="1"/>
  <c r="U7" i="1"/>
  <c r="S5"/>
  <c r="Q7"/>
  <c r="F7" i="26"/>
  <c r="E92" i="30" s="1"/>
  <c r="E27" i="45" s="1"/>
  <c r="C6" i="20"/>
  <c r="E6" s="1"/>
  <c r="N17" i="13"/>
  <c r="O17" s="1"/>
  <c r="N7" i="26"/>
  <c r="E105" i="30" s="1"/>
  <c r="E16" i="45" s="1"/>
  <c r="T5" i="1"/>
  <c r="S7"/>
  <c r="Q5"/>
  <c r="AB21" i="32"/>
  <c r="AS21"/>
  <c r="K19" i="22"/>
  <c r="K37"/>
  <c r="K35"/>
  <c r="E87" i="26"/>
  <c r="S16" i="32"/>
  <c r="O36" i="3"/>
  <c r="F212" i="30" s="1"/>
  <c r="O45" i="7"/>
  <c r="F225" i="30" s="1"/>
  <c r="F199"/>
  <c r="C40" i="21" s="1"/>
  <c r="V11" i="26"/>
  <c r="N11"/>
  <c r="F11"/>
  <c r="V6"/>
  <c r="N6"/>
  <c r="F6"/>
  <c r="O12"/>
  <c r="G12"/>
  <c r="H92" i="30"/>
  <c r="Q31" i="3"/>
  <c r="E192" i="30"/>
  <c r="N38" i="7"/>
  <c r="N29" i="3"/>
  <c r="N43" i="7"/>
  <c r="E197" i="30"/>
  <c r="N34" i="3"/>
  <c r="F13" i="27"/>
  <c r="W10" i="26"/>
  <c r="D44"/>
  <c r="O10"/>
  <c r="G10"/>
  <c r="D39"/>
  <c r="O5"/>
  <c r="F103" i="30" s="1"/>
  <c r="F14" i="45" s="1"/>
  <c r="G5" i="26"/>
  <c r="F90" i="30" s="1"/>
  <c r="F25" i="45" s="1"/>
  <c r="N36" i="3"/>
  <c r="E199" i="30"/>
  <c r="N45" i="7"/>
  <c r="S21" i="32"/>
  <c r="O7" i="26"/>
  <c r="G7"/>
  <c r="F193" i="30"/>
  <c r="C34" i="21" s="1"/>
  <c r="O39" i="7"/>
  <c r="F219" i="30" s="1"/>
  <c r="O30" i="3"/>
  <c r="F206" i="30" s="1"/>
  <c r="L8" i="7"/>
  <c r="J18" i="3"/>
  <c r="F80" i="30"/>
  <c r="BB21" i="25"/>
  <c r="F83" i="30" s="1"/>
  <c r="K21" i="25"/>
  <c r="N13" i="13"/>
  <c r="O13" s="1"/>
  <c r="Q12" i="1"/>
  <c r="O35" i="3"/>
  <c r="F211" i="30" s="1"/>
  <c r="F198"/>
  <c r="C39" i="21" s="1"/>
  <c r="O44" i="7"/>
  <c r="F224" i="30" s="1"/>
  <c r="V12" i="26"/>
  <c r="E123" i="30" s="1"/>
  <c r="E29" i="21" s="1"/>
  <c r="N12" i="26"/>
  <c r="E110" i="30" s="1"/>
  <c r="E21" i="45" s="1"/>
  <c r="F12" i="26"/>
  <c r="E97" i="30" s="1"/>
  <c r="E32" i="45" s="1"/>
  <c r="M20" i="32"/>
  <c r="M18"/>
  <c r="AR18"/>
  <c r="K21"/>
  <c r="M19"/>
  <c r="AR19"/>
  <c r="O31" i="3"/>
  <c r="F207" i="30" s="1"/>
  <c r="F194"/>
  <c r="C35" i="21" s="1"/>
  <c r="O40" i="7"/>
  <c r="F220" i="30" s="1"/>
  <c r="O6" i="26"/>
  <c r="G6"/>
  <c r="F91" i="30" s="1"/>
  <c r="F26" i="45" s="1"/>
  <c r="O11" i="26"/>
  <c r="G11"/>
  <c r="N44" i="7"/>
  <c r="E198" i="30"/>
  <c r="N35" i="3"/>
  <c r="P10" i="26"/>
  <c r="J65"/>
  <c r="F197" i="30"/>
  <c r="C38" i="21" s="1"/>
  <c r="O34" i="3"/>
  <c r="F210" i="30" s="1"/>
  <c r="O43" i="7"/>
  <c r="G13" i="27"/>
  <c r="I7"/>
  <c r="C8" i="21" s="1"/>
  <c r="K8" s="1"/>
  <c r="N40" i="7"/>
  <c r="N31" i="3"/>
  <c r="E194" i="30"/>
  <c r="V10" i="26"/>
  <c r="E121" i="30" s="1"/>
  <c r="E27" i="21" s="1"/>
  <c r="N10" i="26"/>
  <c r="F10"/>
  <c r="D25"/>
  <c r="X10"/>
  <c r="P65"/>
  <c r="R21" i="32"/>
  <c r="V5" i="26"/>
  <c r="N5"/>
  <c r="F5"/>
  <c r="BC21" i="25"/>
  <c r="Q46" i="7"/>
  <c r="H226" i="30" s="1"/>
  <c r="H223"/>
  <c r="E31" i="14"/>
  <c r="E170" i="30"/>
  <c r="E129" i="45" s="1"/>
  <c r="H28" i="30"/>
  <c r="S21" i="25"/>
  <c r="G28" i="30"/>
  <c r="R21" i="25"/>
  <c r="G31" i="30" s="1"/>
  <c r="H10" i="26"/>
  <c r="D65"/>
  <c r="AR21" i="31"/>
  <c r="M18" i="25"/>
  <c r="Y12" i="43" s="1"/>
  <c r="J21" i="25"/>
  <c r="AK18" i="32"/>
  <c r="O8" i="7"/>
  <c r="Z16" i="31"/>
  <c r="K21"/>
  <c r="Z21"/>
  <c r="AS21"/>
  <c r="S21"/>
  <c r="AI21"/>
  <c r="Q19"/>
  <c r="Q18"/>
  <c r="Q20"/>
  <c r="Q15"/>
  <c r="Q14"/>
  <c r="Q13"/>
  <c r="Y13"/>
  <c r="Y19"/>
  <c r="AH19" s="1"/>
  <c r="AQ19" s="1"/>
  <c r="Y20"/>
  <c r="AH20" s="1"/>
  <c r="AQ20" s="1"/>
  <c r="Y18"/>
  <c r="J15"/>
  <c r="J19"/>
  <c r="J20"/>
  <c r="M20" s="1"/>
  <c r="J18"/>
  <c r="M18" s="1"/>
  <c r="AH7"/>
  <c r="AQ7" s="1"/>
  <c r="P19"/>
  <c r="P18"/>
  <c r="P20"/>
  <c r="R20"/>
  <c r="R19"/>
  <c r="R18"/>
  <c r="AB13"/>
  <c r="AB19"/>
  <c r="AB20"/>
  <c r="AB18"/>
  <c r="AK13" i="32"/>
  <c r="AU13" s="1"/>
  <c r="M14" i="4"/>
  <c r="G26" i="14" s="1"/>
  <c r="N19" i="15" s="1"/>
  <c r="M13" i="13"/>
  <c r="G31" i="14" s="1"/>
  <c r="N15" i="16" s="1"/>
  <c r="F32" s="1"/>
  <c r="I11" i="27"/>
  <c r="C11" i="21" s="1"/>
  <c r="K11" s="1"/>
  <c r="K134" i="30" s="1"/>
  <c r="F16"/>
  <c r="D39" i="21" s="1"/>
  <c r="F162" i="30" s="1"/>
  <c r="M14" i="13"/>
  <c r="G32" i="14" s="1"/>
  <c r="K6" i="15"/>
  <c r="K6" i="22"/>
  <c r="N22" i="4"/>
  <c r="P22" s="1"/>
  <c r="S12" i="1"/>
  <c r="T10"/>
  <c r="AI16" i="31"/>
  <c r="J37" i="22"/>
  <c r="J37" i="15"/>
  <c r="S16" i="31"/>
  <c r="U10" i="1"/>
  <c r="Q10"/>
  <c r="I3" i="43" s="1"/>
  <c r="U12" i="1"/>
  <c r="P60" i="26"/>
  <c r="S16" i="25"/>
  <c r="H26" i="30" s="1"/>
  <c r="E34" i="14"/>
  <c r="BB13" i="25"/>
  <c r="F75" i="30" s="1"/>
  <c r="J13" i="25"/>
  <c r="BC13"/>
  <c r="G75" i="30" s="1"/>
  <c r="W5" i="26"/>
  <c r="F116" i="30" s="1"/>
  <c r="E33" i="21" s="1"/>
  <c r="F168" i="30" s="1"/>
  <c r="F127" i="45" s="1"/>
  <c r="AS16" i="31"/>
  <c r="U8" i="1"/>
  <c r="T8"/>
  <c r="R16" i="25"/>
  <c r="G26" i="30" s="1"/>
  <c r="S8" i="1"/>
  <c r="K13" i="31"/>
  <c r="AR13" s="1"/>
  <c r="K13" i="25"/>
  <c r="X5" i="26"/>
  <c r="U6" i="1"/>
  <c r="T6"/>
  <c r="S6"/>
  <c r="D23" i="27"/>
  <c r="M8" i="3"/>
  <c r="M8" i="7"/>
  <c r="H8" i="26"/>
  <c r="G93" i="30" s="1"/>
  <c r="G28" i="45" s="1"/>
  <c r="AF25" i="24"/>
  <c r="P25"/>
  <c r="N26" i="18"/>
  <c r="O30" s="1"/>
  <c r="N27"/>
  <c r="O31" s="1"/>
  <c r="N25"/>
  <c r="O29" s="1"/>
  <c r="U27"/>
  <c r="B21" i="14" s="1"/>
  <c r="U26" i="18"/>
  <c r="B20" i="14" s="1"/>
  <c r="I29" i="15" s="1"/>
  <c r="U25" i="18"/>
  <c r="B19" i="14" s="1"/>
  <c r="AI19" i="25"/>
  <c r="G55" i="30" s="1"/>
  <c r="D42" i="27"/>
  <c r="Q14" i="32"/>
  <c r="Q13"/>
  <c r="F75" i="26"/>
  <c r="D86"/>
  <c r="I12" s="1"/>
  <c r="I11" i="5"/>
  <c r="I13"/>
  <c r="AB15" i="25"/>
  <c r="G38" i="30" s="1"/>
  <c r="AB18" i="25"/>
  <c r="AB14"/>
  <c r="G37" i="30" s="1"/>
  <c r="P13" i="31"/>
  <c r="K24" i="15"/>
  <c r="L24" s="1"/>
  <c r="R10" i="18"/>
  <c r="I11"/>
  <c r="W27"/>
  <c r="D21" i="14" s="1"/>
  <c r="W25" i="18"/>
  <c r="D19" i="14" s="1"/>
  <c r="W26" i="18"/>
  <c r="D20" i="14" s="1"/>
  <c r="BE18" i="25"/>
  <c r="AR10" i="32"/>
  <c r="K14"/>
  <c r="AR14" s="1"/>
  <c r="K15"/>
  <c r="AR15" s="1"/>
  <c r="K13"/>
  <c r="G25" i="7"/>
  <c r="M22"/>
  <c r="D19" s="1"/>
  <c r="I18" s="1"/>
  <c r="M18" s="1"/>
  <c r="Y25" i="43" s="1"/>
  <c r="H14" i="5"/>
  <c r="G10" i="16"/>
  <c r="G11" s="1"/>
  <c r="G12" s="1"/>
  <c r="G13" s="1"/>
  <c r="H17" i="5"/>
  <c r="G15" i="16"/>
  <c r="N22" i="13"/>
  <c r="O22" s="1"/>
  <c r="M15" i="4"/>
  <c r="G28" i="14" s="1"/>
  <c r="N21" i="22" s="1"/>
  <c r="P15" i="31"/>
  <c r="Z14" i="32"/>
  <c r="Z16" s="1"/>
  <c r="D80" i="26"/>
  <c r="I6" s="1"/>
  <c r="F79"/>
  <c r="Y5" s="1"/>
  <c r="AB19" i="25"/>
  <c r="G42" i="30" s="1"/>
  <c r="D60" i="26"/>
  <c r="E15" i="14"/>
  <c r="H136" i="30"/>
  <c r="Q27" i="21"/>
  <c r="D140" i="30"/>
  <c r="D139"/>
  <c r="I8" i="21"/>
  <c r="H130" i="30" s="1"/>
  <c r="H131" s="1"/>
  <c r="K15" i="31"/>
  <c r="K15" i="25"/>
  <c r="BC15"/>
  <c r="G26" i="18"/>
  <c r="N30" s="1"/>
  <c r="G25"/>
  <c r="N29" s="1"/>
  <c r="G27"/>
  <c r="N31" s="1"/>
  <c r="I6" i="5"/>
  <c r="I5"/>
  <c r="J24" i="22"/>
  <c r="I24"/>
  <c r="C8" i="20"/>
  <c r="G6" s="1"/>
  <c r="D30" i="18"/>
  <c r="Q11" i="25"/>
  <c r="Q14" s="1"/>
  <c r="F24" i="30" s="1"/>
  <c r="AC11" i="31"/>
  <c r="AK8"/>
  <c r="AU8" s="1"/>
  <c r="BE19" i="25"/>
  <c r="H81" i="30" s="1"/>
  <c r="BE20" i="25"/>
  <c r="H82" i="30" s="1"/>
  <c r="BE14" i="25"/>
  <c r="H76" i="30" s="1"/>
  <c r="N14" i="13"/>
  <c r="O14" s="1"/>
  <c r="B32" i="14"/>
  <c r="E32" s="1"/>
  <c r="AS15" i="32"/>
  <c r="AS14"/>
  <c r="AS13"/>
  <c r="AB14" i="31"/>
  <c r="AB15"/>
  <c r="N24" i="7"/>
  <c r="M24"/>
  <c r="K24"/>
  <c r="O24"/>
  <c r="C22" i="15"/>
  <c r="D47"/>
  <c r="B28" i="14"/>
  <c r="N15" i="4"/>
  <c r="O15" s="1"/>
  <c r="I10" i="5"/>
  <c r="D29" i="4"/>
  <c r="G29" s="1"/>
  <c r="G34" s="1"/>
  <c r="B29" i="14" s="1"/>
  <c r="M22" i="4"/>
  <c r="M34" s="1"/>
  <c r="AB13" i="25"/>
  <c r="G36" i="30" s="1"/>
  <c r="P14" i="31"/>
  <c r="K21" i="15"/>
  <c r="D85" i="26"/>
  <c r="I11" s="1"/>
  <c r="I10" i="27"/>
  <c r="C10" i="21" s="1"/>
  <c r="R14" i="31"/>
  <c r="R15"/>
  <c r="R13"/>
  <c r="V27" i="18"/>
  <c r="C21" i="14" s="1"/>
  <c r="E21" s="1"/>
  <c r="V25" i="18"/>
  <c r="C19" i="14" s="1"/>
  <c r="J28" i="15" s="1"/>
  <c r="V26" i="18"/>
  <c r="C20" i="14" s="1"/>
  <c r="J29" i="15" s="1"/>
  <c r="K7" i="16"/>
  <c r="N7"/>
  <c r="F24" s="1"/>
  <c r="J7"/>
  <c r="B26" i="14"/>
  <c r="I19" i="22" s="1"/>
  <c r="N14" i="4"/>
  <c r="O14" s="1"/>
  <c r="E5" i="1"/>
  <c r="AA28" i="24"/>
  <c r="N33" i="4"/>
  <c r="N37" s="1"/>
  <c r="B43" i="14" s="1"/>
  <c r="O20" i="4"/>
  <c r="AR14" i="25"/>
  <c r="F63" i="30" s="1"/>
  <c r="F11"/>
  <c r="D34" i="21" s="1"/>
  <c r="F157" i="30" s="1"/>
  <c r="G8" i="22"/>
  <c r="G20"/>
  <c r="G21" s="1"/>
  <c r="J19"/>
  <c r="J20" i="4"/>
  <c r="D28" s="1"/>
  <c r="G28" s="1"/>
  <c r="G33" s="1"/>
  <c r="B27" i="14" s="1"/>
  <c r="J18" i="4"/>
  <c r="C17" i="16"/>
  <c r="D33"/>
  <c r="V25" i="24"/>
  <c r="S25"/>
  <c r="Z25"/>
  <c r="W7" i="26"/>
  <c r="J6" i="16"/>
  <c r="L6" s="1"/>
  <c r="E23" s="1"/>
  <c r="J6" i="15"/>
  <c r="J6" i="22"/>
  <c r="E5" i="14"/>
  <c r="J15" i="32"/>
  <c r="J14"/>
  <c r="J13"/>
  <c r="AK11" i="25"/>
  <c r="AU11" s="1"/>
  <c r="AC14"/>
  <c r="AC19"/>
  <c r="AC20"/>
  <c r="AC15"/>
  <c r="AC18"/>
  <c r="D20" i="26"/>
  <c r="N13" i="4"/>
  <c r="O13" s="1"/>
  <c r="B23" i="14"/>
  <c r="E23" s="1"/>
  <c r="I10" i="26"/>
  <c r="G9" i="15"/>
  <c r="K8"/>
  <c r="I8"/>
  <c r="J8"/>
  <c r="N8"/>
  <c r="Q8" s="1"/>
  <c r="J14" i="31"/>
  <c r="M14" s="1"/>
  <c r="J13"/>
  <c r="M13" i="26"/>
  <c r="B98" i="30"/>
  <c r="F6" i="27"/>
  <c r="D18"/>
  <c r="C82" i="26"/>
  <c r="O60"/>
  <c r="I60" s="1"/>
  <c r="C60" s="1"/>
  <c r="B109" i="30"/>
  <c r="U11" i="26"/>
  <c r="B122" i="30" s="1"/>
  <c r="B134" s="1"/>
  <c r="H75"/>
  <c r="B110"/>
  <c r="U12" i="26"/>
  <c r="B123" i="30" s="1"/>
  <c r="B135" s="1"/>
  <c r="W12" i="26"/>
  <c r="K18" i="3"/>
  <c r="C11" i="14" s="1"/>
  <c r="J11" i="16" s="1"/>
  <c r="L18" i="3"/>
  <c r="D11" i="14" s="1"/>
  <c r="K11" i="16" s="1"/>
  <c r="O18" i="7"/>
  <c r="M18" i="3"/>
  <c r="O18"/>
  <c r="AA20" i="43" s="1"/>
  <c r="J60" i="26"/>
  <c r="P5"/>
  <c r="D47" i="22"/>
  <c r="C22"/>
  <c r="AH10" i="31"/>
  <c r="AQ10" s="1"/>
  <c r="Y14"/>
  <c r="Y15"/>
  <c r="T9" i="1"/>
  <c r="Q9"/>
  <c r="I9" i="43" s="1"/>
  <c r="U9" i="1"/>
  <c r="F23" i="16"/>
  <c r="AI15" i="25"/>
  <c r="G51" i="30" s="1"/>
  <c r="M13" i="4"/>
  <c r="G23" i="14" s="1"/>
  <c r="K8" i="7"/>
  <c r="U4" i="1"/>
  <c r="S4"/>
  <c r="H30" i="30"/>
  <c r="G80"/>
  <c r="O65" i="26"/>
  <c r="I65" s="1"/>
  <c r="C65" s="1"/>
  <c r="C87"/>
  <c r="F15" i="30"/>
  <c r="D38" i="21" s="1"/>
  <c r="AR18" i="25"/>
  <c r="Y7"/>
  <c r="B93" i="30"/>
  <c r="M8" i="26"/>
  <c r="Q11" i="1"/>
  <c r="T11"/>
  <c r="U11"/>
  <c r="S11"/>
  <c r="G26" i="22"/>
  <c r="X11" i="26"/>
  <c r="U7"/>
  <c r="B118" i="30" s="1"/>
  <c r="B130" s="1"/>
  <c r="B105"/>
  <c r="B103"/>
  <c r="U5" i="26"/>
  <c r="B116" i="30" s="1"/>
  <c r="B128" s="1"/>
  <c r="P11" i="26"/>
  <c r="AR20" i="25"/>
  <c r="F69" i="30" s="1"/>
  <c r="F17"/>
  <c r="D40" i="21" s="1"/>
  <c r="F163" i="30" s="1"/>
  <c r="O8" i="3"/>
  <c r="L8"/>
  <c r="J8"/>
  <c r="W20" i="43" s="1"/>
  <c r="K8" i="3"/>
  <c r="Q24" i="15"/>
  <c r="F43"/>
  <c r="Q10" i="26"/>
  <c r="Q13" s="1"/>
  <c r="I5"/>
  <c r="Q29" i="3" s="1"/>
  <c r="W11" i="26"/>
  <c r="F43" i="22"/>
  <c r="Q24"/>
  <c r="T4" i="1"/>
  <c r="AB16" i="32"/>
  <c r="I12" i="27"/>
  <c r="C12" i="21" s="1"/>
  <c r="K12" s="1"/>
  <c r="Z18" i="25"/>
  <c r="Z19"/>
  <c r="F42" i="30" s="1"/>
  <c r="Z15" i="25"/>
  <c r="F38" i="30" s="1"/>
  <c r="Z20" i="25"/>
  <c r="F43" i="30" s="1"/>
  <c r="Z14" i="25"/>
  <c r="F37" i="30" s="1"/>
  <c r="Z13" i="25"/>
  <c r="Q6" i="26"/>
  <c r="E82"/>
  <c r="B108" i="30"/>
  <c r="U10" i="26"/>
  <c r="B121" i="30" s="1"/>
  <c r="B133" s="1"/>
  <c r="AI13" i="25"/>
  <c r="AI20"/>
  <c r="G56" i="30" s="1"/>
  <c r="AS18" i="25"/>
  <c r="AS19"/>
  <c r="G68" i="30" s="1"/>
  <c r="AS15" i="25"/>
  <c r="G64" i="30" s="1"/>
  <c r="AS14" i="25"/>
  <c r="G63" i="30" s="1"/>
  <c r="AS20" i="25"/>
  <c r="G69" i="30" s="1"/>
  <c r="AS13" i="25"/>
  <c r="W6" i="26"/>
  <c r="F117" i="30" s="1"/>
  <c r="E34" i="21" s="1"/>
  <c r="F169" i="30" s="1"/>
  <c r="F128" i="45" s="1"/>
  <c r="J14" i="25"/>
  <c r="AK15" i="32"/>
  <c r="AU15" s="1"/>
  <c r="AC16"/>
  <c r="AK16" s="1"/>
  <c r="AU16" s="1"/>
  <c r="G30" i="15"/>
  <c r="Y7" i="32"/>
  <c r="P10"/>
  <c r="N8" i="3"/>
  <c r="N18"/>
  <c r="Z20" i="43" s="1"/>
  <c r="N8" i="7"/>
  <c r="F77" i="30"/>
  <c r="D28" i="16"/>
  <c r="C12"/>
  <c r="I7"/>
  <c r="E6" i="14"/>
  <c r="G5" i="27"/>
  <c r="D37"/>
  <c r="B104" i="30"/>
  <c r="U6" i="26"/>
  <c r="B117" i="30" s="1"/>
  <c r="B129" s="1"/>
  <c r="J8" i="7"/>
  <c r="AC13" i="25"/>
  <c r="R16" i="32"/>
  <c r="AI18" i="25"/>
  <c r="M22" i="13"/>
  <c r="D28" s="1"/>
  <c r="M17"/>
  <c r="AC21" i="32" l="1"/>
  <c r="Q20" i="25"/>
  <c r="F30" i="30" s="1"/>
  <c r="Q18" i="25"/>
  <c r="Q21" s="1"/>
  <c r="Q19"/>
  <c r="F29" i="30" s="1"/>
  <c r="J21" i="32"/>
  <c r="M21" s="1"/>
  <c r="P19"/>
  <c r="P18"/>
  <c r="P20"/>
  <c r="AC21" i="25"/>
  <c r="F146" i="30"/>
  <c r="F151"/>
  <c r="F150"/>
  <c r="F149"/>
  <c r="F145"/>
  <c r="I34" i="21"/>
  <c r="F181" i="30" s="1"/>
  <c r="F140" i="45" s="1"/>
  <c r="N32" i="4"/>
  <c r="N36" s="1"/>
  <c r="B42" i="14" s="1"/>
  <c r="N34" i="4"/>
  <c r="N38" s="1"/>
  <c r="B44" i="14" s="1"/>
  <c r="L11" i="21"/>
  <c r="L134" i="30" s="1"/>
  <c r="L6" i="22"/>
  <c r="E43" s="1"/>
  <c r="O22" i="4"/>
  <c r="L6" i="15"/>
  <c r="E43" s="1"/>
  <c r="J24" i="7"/>
  <c r="E134" i="30"/>
  <c r="E130"/>
  <c r="U15" i="31"/>
  <c r="M15"/>
  <c r="F13" i="26"/>
  <c r="M14" i="32"/>
  <c r="N13" i="26"/>
  <c r="N35" i="22"/>
  <c r="F50" s="1"/>
  <c r="P8" i="7"/>
  <c r="G13" i="26"/>
  <c r="N19" i="22"/>
  <c r="Q19" s="1"/>
  <c r="H45" s="1"/>
  <c r="E108" i="30"/>
  <c r="E19" i="45" s="1"/>
  <c r="M21" i="25"/>
  <c r="E95" i="30"/>
  <c r="E30" i="45" s="1"/>
  <c r="O13" i="26"/>
  <c r="H91" i="30"/>
  <c r="Q30" i="3"/>
  <c r="AU18" i="32"/>
  <c r="AK21"/>
  <c r="H198" i="30"/>
  <c r="C28" i="21"/>
  <c r="E212" i="30"/>
  <c r="E205"/>
  <c r="H205"/>
  <c r="R38" i="7"/>
  <c r="F67" i="30"/>
  <c r="AR21" i="25"/>
  <c r="Q34" i="3"/>
  <c r="I13" i="26"/>
  <c r="L3" i="43"/>
  <c r="T3"/>
  <c r="M3"/>
  <c r="N3"/>
  <c r="I4"/>
  <c r="O37" i="3"/>
  <c r="F213" i="30" s="1"/>
  <c r="F200"/>
  <c r="C41" i="21" s="1"/>
  <c r="E224" i="30"/>
  <c r="AI21" i="25"/>
  <c r="F161" i="30"/>
  <c r="M8" i="21"/>
  <c r="M130" i="30" s="1"/>
  <c r="N35" i="15"/>
  <c r="F50" s="1"/>
  <c r="F28" i="30"/>
  <c r="BE21" i="25"/>
  <c r="H83" i="30" s="1"/>
  <c r="Q16" i="32"/>
  <c r="E32" i="7"/>
  <c r="F95" i="30"/>
  <c r="E207"/>
  <c r="S31" i="3"/>
  <c r="J207" i="30" s="1"/>
  <c r="F223"/>
  <c r="O46" i="7"/>
  <c r="F226" i="30" s="1"/>
  <c r="G108"/>
  <c r="P13" i="26"/>
  <c r="U19" i="25"/>
  <c r="E225" i="30"/>
  <c r="H197"/>
  <c r="C27" i="21"/>
  <c r="C22"/>
  <c r="O38" i="7"/>
  <c r="T38" s="1"/>
  <c r="K218" i="30" s="1"/>
  <c r="F192"/>
  <c r="C33" i="21" s="1"/>
  <c r="F205" i="30"/>
  <c r="H96"/>
  <c r="Q35" i="3"/>
  <c r="S35" s="1"/>
  <c r="J211" i="30" s="1"/>
  <c r="E173"/>
  <c r="E132" i="45" s="1"/>
  <c r="N37" i="3"/>
  <c r="E200" i="30"/>
  <c r="D28" i="3"/>
  <c r="I13" i="27"/>
  <c r="F14" s="1"/>
  <c r="C13" i="21" s="1"/>
  <c r="D32" i="7"/>
  <c r="BB16" i="25"/>
  <c r="F78" i="30" s="1"/>
  <c r="G95"/>
  <c r="H13" i="26"/>
  <c r="G98" i="30" s="1"/>
  <c r="H194"/>
  <c r="C24" i="21"/>
  <c r="AR21" i="32"/>
  <c r="E210" i="30"/>
  <c r="E218"/>
  <c r="AS21" i="25"/>
  <c r="Z21"/>
  <c r="L8" i="21"/>
  <c r="P24" s="1"/>
  <c r="D16" i="14" s="1"/>
  <c r="M9" i="43"/>
  <c r="T9"/>
  <c r="AF9" s="1"/>
  <c r="L9"/>
  <c r="N9"/>
  <c r="F8" i="27"/>
  <c r="N39" i="7"/>
  <c r="N41" s="1"/>
  <c r="N30" i="3"/>
  <c r="E193" i="30"/>
  <c r="G41"/>
  <c r="AB21" i="25"/>
  <c r="G44" i="30" s="1"/>
  <c r="H97"/>
  <c r="Q36" i="3"/>
  <c r="S36" s="1"/>
  <c r="J212" i="30" s="1"/>
  <c r="F108"/>
  <c r="E175"/>
  <c r="E134" i="45" s="1"/>
  <c r="D87" i="26"/>
  <c r="G121" i="30"/>
  <c r="X13" i="26"/>
  <c r="V13"/>
  <c r="E220" i="30"/>
  <c r="E211"/>
  <c r="H199"/>
  <c r="C29" i="21"/>
  <c r="F121" i="30"/>
  <c r="E38" i="21" s="1"/>
  <c r="F173" i="30" s="1"/>
  <c r="W13" i="26"/>
  <c r="E223" i="30"/>
  <c r="N46" i="7"/>
  <c r="R40"/>
  <c r="I220" i="30" s="1"/>
  <c r="H207"/>
  <c r="M11" i="21"/>
  <c r="M134" i="30" s="1"/>
  <c r="L10" i="21"/>
  <c r="L133" i="30" s="1"/>
  <c r="K10" i="21"/>
  <c r="K133" i="30" s="1"/>
  <c r="O27" i="7"/>
  <c r="K18"/>
  <c r="V25" i="43" s="1"/>
  <c r="L18" i="7"/>
  <c r="U25" i="43" s="1"/>
  <c r="P24" i="7"/>
  <c r="J18"/>
  <c r="W25" i="43" s="1"/>
  <c r="G10" i="14"/>
  <c r="N10" i="16" s="1"/>
  <c r="F27" s="1"/>
  <c r="C10" i="14"/>
  <c r="J10" i="16" s="1"/>
  <c r="V20" i="43"/>
  <c r="D10" i="14"/>
  <c r="K10" i="16" s="1"/>
  <c r="U20" i="43"/>
  <c r="Y20"/>
  <c r="P18" i="3"/>
  <c r="G11" i="14" s="1"/>
  <c r="N11" i="16" s="1"/>
  <c r="AA25" i="43"/>
  <c r="Q16" i="31"/>
  <c r="U14"/>
  <c r="J21"/>
  <c r="M21" s="1"/>
  <c r="M19"/>
  <c r="AC18"/>
  <c r="AC20"/>
  <c r="AK20" s="1"/>
  <c r="AU20" s="1"/>
  <c r="AC19"/>
  <c r="AK19" s="1"/>
  <c r="AU19" s="1"/>
  <c r="Y21"/>
  <c r="AH18"/>
  <c r="Q21"/>
  <c r="AB21"/>
  <c r="R21"/>
  <c r="P21"/>
  <c r="L24" i="7"/>
  <c r="L27" s="1"/>
  <c r="D12" i="14" s="1"/>
  <c r="K12" i="16" s="1"/>
  <c r="I5" i="21"/>
  <c r="M15" i="32"/>
  <c r="AB16" i="31"/>
  <c r="D82" i="26"/>
  <c r="L7" i="16"/>
  <c r="E24" s="1"/>
  <c r="BE16" i="25"/>
  <c r="H78" i="30" s="1"/>
  <c r="R16" i="31"/>
  <c r="P16"/>
  <c r="L19" i="22"/>
  <c r="L24"/>
  <c r="P24" i="15"/>
  <c r="AR13" i="25"/>
  <c r="F62" i="30" s="1"/>
  <c r="F10"/>
  <c r="D33" i="21" s="1"/>
  <c r="G116" i="30"/>
  <c r="X8" i="26"/>
  <c r="G119" i="30" s="1"/>
  <c r="N37" i="22"/>
  <c r="Q37" s="1"/>
  <c r="H52" s="1"/>
  <c r="K27" i="7"/>
  <c r="C12" i="14" s="1"/>
  <c r="J12" i="16" s="1"/>
  <c r="E28" i="3"/>
  <c r="Q15" i="16"/>
  <c r="H32" s="1"/>
  <c r="M27" i="7"/>
  <c r="N18"/>
  <c r="Z25" i="43" s="1"/>
  <c r="N37" i="15"/>
  <c r="F52" s="1"/>
  <c r="S10" i="26"/>
  <c r="N21" i="15"/>
  <c r="Q21" s="1"/>
  <c r="H47" s="1"/>
  <c r="Q7" i="16"/>
  <c r="H24" s="1"/>
  <c r="E133" i="30"/>
  <c r="M10" i="21"/>
  <c r="M133" i="30" s="1"/>
  <c r="AB16" i="25"/>
  <c r="G39" i="30" s="1"/>
  <c r="U13" i="31"/>
  <c r="E24" i="14"/>
  <c r="D27" i="4"/>
  <c r="I35" i="15"/>
  <c r="L35" s="1"/>
  <c r="I19"/>
  <c r="L19" s="1"/>
  <c r="E26" i="14"/>
  <c r="I35" i="22"/>
  <c r="L35" s="1"/>
  <c r="E50" s="1"/>
  <c r="M18" i="4"/>
  <c r="M32" s="1"/>
  <c r="M20"/>
  <c r="M33" s="1"/>
  <c r="D48" i="15"/>
  <c r="C35"/>
  <c r="AK11" i="31"/>
  <c r="AU11" s="1"/>
  <c r="AC15"/>
  <c r="AK15" s="1"/>
  <c r="AU15" s="1"/>
  <c r="AC14"/>
  <c r="AK14" s="1"/>
  <c r="AU14" s="1"/>
  <c r="AC13"/>
  <c r="F12" i="30"/>
  <c r="D35" i="21" s="1"/>
  <c r="F158" i="30" s="1"/>
  <c r="AR15" i="25"/>
  <c r="F64" i="30" s="1"/>
  <c r="K16" i="25"/>
  <c r="I15" i="16"/>
  <c r="J15"/>
  <c r="K15"/>
  <c r="G16"/>
  <c r="AR13" i="32"/>
  <c r="K16"/>
  <c r="AR16" s="1"/>
  <c r="E19" i="14"/>
  <c r="I28" i="15"/>
  <c r="L28" s="1"/>
  <c r="P28" s="1"/>
  <c r="G9" i="22"/>
  <c r="G10" s="1"/>
  <c r="G12" s="1"/>
  <c r="J8"/>
  <c r="I8"/>
  <c r="N8"/>
  <c r="Q8" s="1"/>
  <c r="H80" i="30"/>
  <c r="F85" i="26"/>
  <c r="Y11" s="1"/>
  <c r="H122" i="30" s="1"/>
  <c r="F86" i="26"/>
  <c r="Y12" s="1"/>
  <c r="H123" i="30" s="1"/>
  <c r="E51" i="21" s="1"/>
  <c r="I51" s="1"/>
  <c r="G187" i="30" s="1"/>
  <c r="F84" i="26"/>
  <c r="C18" i="16"/>
  <c r="D35" s="1"/>
  <c r="D34"/>
  <c r="G29" i="14"/>
  <c r="M38" i="4"/>
  <c r="C44" i="14" s="1"/>
  <c r="I37" i="15"/>
  <c r="L37" s="1"/>
  <c r="E28" i="14"/>
  <c r="I21" i="15"/>
  <c r="L21" s="1"/>
  <c r="I37" i="22"/>
  <c r="L37" s="1"/>
  <c r="G77" i="30"/>
  <c r="BC16" i="25"/>
  <c r="G78" i="30" s="1"/>
  <c r="E20" i="14"/>
  <c r="K29" i="15"/>
  <c r="L29" s="1"/>
  <c r="P29" s="1"/>
  <c r="I28" i="4"/>
  <c r="I33" s="1"/>
  <c r="D27" i="14" s="1"/>
  <c r="E28" i="4"/>
  <c r="F28"/>
  <c r="H28"/>
  <c r="H33" s="1"/>
  <c r="C27" i="14" s="1"/>
  <c r="AR15" i="31"/>
  <c r="K16"/>
  <c r="AR16" s="1"/>
  <c r="I12" i="18"/>
  <c r="R11"/>
  <c r="E31" s="1"/>
  <c r="N27" i="7"/>
  <c r="F81" i="26"/>
  <c r="Y7" s="1"/>
  <c r="H118" i="30" s="1"/>
  <c r="E46" i="21" s="1"/>
  <c r="I46" s="1"/>
  <c r="F80" i="26"/>
  <c r="Y6" s="1"/>
  <c r="H117" i="30" s="1"/>
  <c r="E45" i="21" s="1"/>
  <c r="I45" s="1"/>
  <c r="L8" i="15"/>
  <c r="P8" s="1"/>
  <c r="G22" i="22"/>
  <c r="I21"/>
  <c r="J21"/>
  <c r="I29" i="4"/>
  <c r="I34" s="1"/>
  <c r="D29" i="14" s="1"/>
  <c r="E29" i="4"/>
  <c r="F29"/>
  <c r="H29"/>
  <c r="H34" s="1"/>
  <c r="C29" i="14" s="1"/>
  <c r="AS16" i="32"/>
  <c r="K21" i="22"/>
  <c r="Q15" i="25"/>
  <c r="F25" i="30" s="1"/>
  <c r="Q13" i="25"/>
  <c r="O25" i="7"/>
  <c r="O28" s="1"/>
  <c r="N25"/>
  <c r="L25"/>
  <c r="K25"/>
  <c r="M25"/>
  <c r="J25"/>
  <c r="K28" i="15"/>
  <c r="K12" i="22"/>
  <c r="K8"/>
  <c r="J15" i="25"/>
  <c r="M15" s="1"/>
  <c r="D8" i="21" s="1"/>
  <c r="F130" i="30" s="1"/>
  <c r="E15"/>
  <c r="E10"/>
  <c r="D22" i="21" s="1"/>
  <c r="BA10" i="25"/>
  <c r="BA18" s="1"/>
  <c r="D27" i="13"/>
  <c r="F104" i="30"/>
  <c r="F15" i="45" s="1"/>
  <c r="O8" i="26"/>
  <c r="F106" i="30" s="1"/>
  <c r="F17" i="45" s="1"/>
  <c r="F96" i="30"/>
  <c r="C13" i="16"/>
  <c r="D30" s="1"/>
  <c r="D29"/>
  <c r="P15" i="32"/>
  <c r="U15" s="1"/>
  <c r="P14"/>
  <c r="U14" s="1"/>
  <c r="P13"/>
  <c r="G32" i="15"/>
  <c r="J30"/>
  <c r="I30"/>
  <c r="K30"/>
  <c r="M20" i="25"/>
  <c r="E17" i="30"/>
  <c r="BA14" i="25"/>
  <c r="BA20"/>
  <c r="AS16"/>
  <c r="G65" i="30" s="1"/>
  <c r="G62"/>
  <c r="E122"/>
  <c r="E28" i="21" s="1"/>
  <c r="F109" i="30"/>
  <c r="B106"/>
  <c r="U8" i="26"/>
  <c r="B119" i="30" s="1"/>
  <c r="B131" s="1"/>
  <c r="F18"/>
  <c r="D41" i="21" s="1"/>
  <c r="G83" i="30"/>
  <c r="H31"/>
  <c r="Q21" i="22"/>
  <c r="H47" s="1"/>
  <c r="F47"/>
  <c r="P23" i="21"/>
  <c r="K130" i="30"/>
  <c r="Y16" i="31"/>
  <c r="AH13"/>
  <c r="AH14"/>
  <c r="K6" i="26"/>
  <c r="E91" i="30"/>
  <c r="E26" i="45" s="1"/>
  <c r="V8" i="26"/>
  <c r="AA5"/>
  <c r="E6" i="21" s="1"/>
  <c r="E116" i="30"/>
  <c r="E22" i="21" s="1"/>
  <c r="H43" i="30"/>
  <c r="AK20" i="25"/>
  <c r="S7" i="26"/>
  <c r="F105" i="30"/>
  <c r="F16" i="45" s="1"/>
  <c r="W8" i="26"/>
  <c r="F119" i="30" s="1"/>
  <c r="E36" i="21" s="1"/>
  <c r="G34" i="14"/>
  <c r="AC16" i="25"/>
  <c r="AK13"/>
  <c r="H36" i="30"/>
  <c r="H104"/>
  <c r="Q8" i="26"/>
  <c r="H106" i="30" s="1"/>
  <c r="E109"/>
  <c r="E20" i="45" s="1"/>
  <c r="S11" i="26"/>
  <c r="AH15" i="31"/>
  <c r="E104" i="30"/>
  <c r="E15" i="45" s="1"/>
  <c r="S6" i="26"/>
  <c r="I6" i="27"/>
  <c r="C7" i="21" s="1"/>
  <c r="K7" s="1"/>
  <c r="H95" i="30"/>
  <c r="K10" i="26"/>
  <c r="E103" i="30"/>
  <c r="E14" i="45" s="1"/>
  <c r="S5" i="26"/>
  <c r="N8"/>
  <c r="AK15" i="25"/>
  <c r="H38" i="30"/>
  <c r="G8" i="27"/>
  <c r="I5"/>
  <c r="C6" i="21" s="1"/>
  <c r="K6" s="1"/>
  <c r="M14" i="25"/>
  <c r="D7" i="21" s="1"/>
  <c r="F129" i="30" s="1"/>
  <c r="E11"/>
  <c r="K11" i="26"/>
  <c r="E96" i="30"/>
  <c r="E31" i="45" s="1"/>
  <c r="F41" i="30"/>
  <c r="F122"/>
  <c r="E39" i="21" s="1"/>
  <c r="I39" s="1"/>
  <c r="H108" i="30"/>
  <c r="I22" i="22"/>
  <c r="I38"/>
  <c r="I22" i="15"/>
  <c r="Y10" i="25"/>
  <c r="AH7"/>
  <c r="AQ7" s="1"/>
  <c r="F97" i="30"/>
  <c r="K12" i="26"/>
  <c r="J16" i="31"/>
  <c r="M13"/>
  <c r="H41" i="30"/>
  <c r="AK18" i="25"/>
  <c r="H37" i="30"/>
  <c r="AK14" i="25"/>
  <c r="F118" i="30"/>
  <c r="E35" i="21" s="1"/>
  <c r="G8" i="26"/>
  <c r="F93" i="30" s="1"/>
  <c r="F28" i="45" s="1"/>
  <c r="F28" i="13"/>
  <c r="H28"/>
  <c r="H31" s="1"/>
  <c r="I28"/>
  <c r="I31" s="1"/>
  <c r="E28"/>
  <c r="J28"/>
  <c r="L28"/>
  <c r="L31" s="1"/>
  <c r="K28"/>
  <c r="K31" s="1"/>
  <c r="G28"/>
  <c r="AI16" i="25"/>
  <c r="G52" i="30" s="1"/>
  <c r="G49"/>
  <c r="L12" i="21"/>
  <c r="L135" i="30" s="1"/>
  <c r="E135"/>
  <c r="K135"/>
  <c r="M12" i="21"/>
  <c r="M135" i="30" s="1"/>
  <c r="Q8" i="3"/>
  <c r="R8" s="1"/>
  <c r="I20" i="43" s="1"/>
  <c r="B10" i="14"/>
  <c r="G28" i="22"/>
  <c r="P15" i="25"/>
  <c r="P18"/>
  <c r="P20"/>
  <c r="E29" i="30"/>
  <c r="P13" i="25"/>
  <c r="P14"/>
  <c r="D48" i="22"/>
  <c r="C35"/>
  <c r="B11" i="14"/>
  <c r="Q18" i="3"/>
  <c r="S12" i="26"/>
  <c r="F110" i="30"/>
  <c r="G54"/>
  <c r="R8" i="7"/>
  <c r="I25" i="43" s="1"/>
  <c r="H14" i="7"/>
  <c r="H15" s="1"/>
  <c r="Q8"/>
  <c r="J27"/>
  <c r="B12" i="14" s="1"/>
  <c r="AH7" i="32"/>
  <c r="AQ7" s="1"/>
  <c r="Y10"/>
  <c r="M19" i="25"/>
  <c r="E16" i="30"/>
  <c r="G67"/>
  <c r="F36"/>
  <c r="Z16" i="25"/>
  <c r="F39" i="30" s="1"/>
  <c r="I8" i="26"/>
  <c r="H90" i="30"/>
  <c r="I36" i="22"/>
  <c r="I20" i="15"/>
  <c r="I20" i="22"/>
  <c r="I36" i="15"/>
  <c r="G109" i="30"/>
  <c r="G122"/>
  <c r="P8" i="26"/>
  <c r="G106" i="30" s="1"/>
  <c r="G103"/>
  <c r="H116"/>
  <c r="F123"/>
  <c r="E40" i="21" s="1"/>
  <c r="I40" s="1"/>
  <c r="F45" i="15"/>
  <c r="Q19"/>
  <c r="H45" s="1"/>
  <c r="E117" i="30"/>
  <c r="E23" i="21" s="1"/>
  <c r="B111" i="30"/>
  <c r="U13" i="26"/>
  <c r="B124" i="30" s="1"/>
  <c r="B136" s="1"/>
  <c r="G10" i="15"/>
  <c r="E90" i="30"/>
  <c r="E25" i="45" s="1"/>
  <c r="F8" i="26"/>
  <c r="K5"/>
  <c r="AK19" i="25"/>
  <c r="H42" i="30"/>
  <c r="J16" i="32"/>
  <c r="M13"/>
  <c r="F92" i="30"/>
  <c r="F27" i="45" s="1"/>
  <c r="K7" i="26"/>
  <c r="I38" i="15"/>
  <c r="J29" i="30" l="1"/>
  <c r="P21" i="32"/>
  <c r="U21" s="1"/>
  <c r="Y20"/>
  <c r="AH20" s="1"/>
  <c r="AQ20" s="1"/>
  <c r="Y19"/>
  <c r="AH19" s="1"/>
  <c r="AQ19" s="1"/>
  <c r="Y18"/>
  <c r="AK21" i="25"/>
  <c r="F152" i="30"/>
  <c r="I38" i="21"/>
  <c r="F185" i="30" s="1"/>
  <c r="F144"/>
  <c r="F147" s="1"/>
  <c r="I33" i="21"/>
  <c r="F180" i="30" s="1"/>
  <c r="F139" i="45" s="1"/>
  <c r="I35" i="21"/>
  <c r="F182" i="30" s="1"/>
  <c r="F141" i="45" s="1"/>
  <c r="I22" i="21"/>
  <c r="Q35" i="22"/>
  <c r="H50" s="1"/>
  <c r="AA7" i="26"/>
  <c r="J118" i="30" s="1"/>
  <c r="P24" i="22"/>
  <c r="P19"/>
  <c r="G45" s="1"/>
  <c r="P27" i="7"/>
  <c r="G12" i="14" s="1"/>
  <c r="AA6" i="26"/>
  <c r="J117" i="30" s="1"/>
  <c r="S13" i="26"/>
  <c r="X3" i="43" s="1"/>
  <c r="R3" s="1"/>
  <c r="R4" s="1"/>
  <c r="P7" i="16"/>
  <c r="G24" s="1"/>
  <c r="F45" i="22"/>
  <c r="Q35" i="15"/>
  <c r="H50" s="1"/>
  <c r="H192" i="30"/>
  <c r="Q24" i="7"/>
  <c r="Q27" s="1"/>
  <c r="Q30" s="1"/>
  <c r="B41" i="14" s="1"/>
  <c r="J96" i="30"/>
  <c r="J31" i="45" s="1"/>
  <c r="Z9" i="43"/>
  <c r="F195" i="30"/>
  <c r="C36" i="21" s="1"/>
  <c r="O32" i="3"/>
  <c r="F208" i="30" s="1"/>
  <c r="J103"/>
  <c r="J14" i="45" s="1"/>
  <c r="W3" i="43"/>
  <c r="W4" s="1"/>
  <c r="W5" s="1"/>
  <c r="W6" s="1"/>
  <c r="W7" s="1"/>
  <c r="W8" s="1"/>
  <c r="J109" i="30"/>
  <c r="J20" i="45" s="1"/>
  <c r="Z3" i="43"/>
  <c r="Z4" s="1"/>
  <c r="Z5" s="1"/>
  <c r="Z6" s="1"/>
  <c r="Z7" s="1"/>
  <c r="Z8" s="1"/>
  <c r="I218" i="30"/>
  <c r="J92"/>
  <c r="J27" i="45" s="1"/>
  <c r="U9" i="43"/>
  <c r="D11" i="21"/>
  <c r="F134" i="30" s="1"/>
  <c r="Z12" i="43"/>
  <c r="J110" i="30"/>
  <c r="J21" i="45" s="1"/>
  <c r="AA3" i="43"/>
  <c r="AA4" s="1"/>
  <c r="AA5" s="1"/>
  <c r="AA6" s="1"/>
  <c r="AA7" s="1"/>
  <c r="AA8" s="1"/>
  <c r="J104" i="30"/>
  <c r="J15" i="45" s="1"/>
  <c r="V3" i="43"/>
  <c r="V4" s="1"/>
  <c r="V5" s="1"/>
  <c r="V6" s="1"/>
  <c r="V7" s="1"/>
  <c r="V8" s="1"/>
  <c r="E168" i="30"/>
  <c r="E127" i="45" s="1"/>
  <c r="E174" i="30"/>
  <c r="Y10" i="26"/>
  <c r="Y13" s="1"/>
  <c r="AA13" s="1"/>
  <c r="F87"/>
  <c r="E221" i="30"/>
  <c r="F164"/>
  <c r="L130"/>
  <c r="F52" i="22"/>
  <c r="E30" i="30"/>
  <c r="J30" s="1"/>
  <c r="U20" i="25"/>
  <c r="J95" i="30"/>
  <c r="J30" i="45" s="1"/>
  <c r="Y9" i="43"/>
  <c r="P25" i="21"/>
  <c r="D17" i="14" s="1"/>
  <c r="K10" i="22" s="1"/>
  <c r="J105" i="30"/>
  <c r="J16" i="45" s="1"/>
  <c r="U3" i="43"/>
  <c r="U4" s="1"/>
  <c r="U5" s="1"/>
  <c r="U6" s="1"/>
  <c r="U7" s="1"/>
  <c r="U8" s="1"/>
  <c r="D55" i="21"/>
  <c r="E156" i="30"/>
  <c r="G169"/>
  <c r="G175"/>
  <c r="E226"/>
  <c r="E206"/>
  <c r="S30" i="3"/>
  <c r="J206" i="30" s="1"/>
  <c r="E146"/>
  <c r="I146" s="1"/>
  <c r="C57" i="21"/>
  <c r="H200" i="30"/>
  <c r="C30" i="21"/>
  <c r="H211" i="30"/>
  <c r="R44" i="7"/>
  <c r="E149" i="30"/>
  <c r="C60" i="21"/>
  <c r="I5" i="43"/>
  <c r="L4"/>
  <c r="T4"/>
  <c r="AF4" s="1"/>
  <c r="M4"/>
  <c r="N4"/>
  <c r="S29" i="3"/>
  <c r="J205" i="30" s="1"/>
  <c r="E150"/>
  <c r="I150" s="1"/>
  <c r="C61" i="21"/>
  <c r="H206" i="30"/>
  <c r="R39" i="7"/>
  <c r="I219" i="30" s="1"/>
  <c r="J90"/>
  <c r="J25" i="45" s="1"/>
  <c r="W9" i="43"/>
  <c r="E82" i="30"/>
  <c r="J82" s="1"/>
  <c r="BG20" i="25"/>
  <c r="AA16" i="43" s="1"/>
  <c r="F156" i="30"/>
  <c r="F159" s="1"/>
  <c r="E195"/>
  <c r="N32" i="3"/>
  <c r="E144" i="30"/>
  <c r="C55" i="21"/>
  <c r="R43" i="7"/>
  <c r="H210" i="30"/>
  <c r="AU21" i="32"/>
  <c r="J97" i="30"/>
  <c r="J32" i="45" s="1"/>
  <c r="AA9" i="43"/>
  <c r="F186" i="30"/>
  <c r="F174"/>
  <c r="J91"/>
  <c r="J26" i="45" s="1"/>
  <c r="V9" i="43"/>
  <c r="BG18" i="25"/>
  <c r="Y16" i="43" s="1"/>
  <c r="T40" i="7"/>
  <c r="K220" i="30" s="1"/>
  <c r="H212"/>
  <c r="R45" i="7"/>
  <c r="H193" i="30"/>
  <c r="C23" i="21"/>
  <c r="AF3" i="43"/>
  <c r="F187" i="30"/>
  <c r="F175"/>
  <c r="I175" s="1"/>
  <c r="J134" i="45" s="1"/>
  <c r="E56" i="21"/>
  <c r="E169" i="30"/>
  <c r="E128" i="45" s="1"/>
  <c r="H93" i="30"/>
  <c r="Q32" i="3"/>
  <c r="H208" i="30" s="1"/>
  <c r="J16" i="25"/>
  <c r="E13" i="30" s="1"/>
  <c r="D25" i="21" s="1"/>
  <c r="U18" i="25"/>
  <c r="P21"/>
  <c r="F170" i="30"/>
  <c r="F129" i="45" s="1"/>
  <c r="E57" i="21"/>
  <c r="D12"/>
  <c r="F135" i="30" s="1"/>
  <c r="AA12" i="43"/>
  <c r="G170" i="30"/>
  <c r="J108"/>
  <c r="J19" i="45" s="1"/>
  <c r="Y3" i="43"/>
  <c r="Y4" s="1"/>
  <c r="Y5" s="1"/>
  <c r="Y6" s="1"/>
  <c r="Y7" s="1"/>
  <c r="Y8" s="1"/>
  <c r="E151" i="30"/>
  <c r="I151" s="1"/>
  <c r="C62" i="21"/>
  <c r="E62"/>
  <c r="E219" i="30"/>
  <c r="AN67" i="43"/>
  <c r="AN60"/>
  <c r="AN19"/>
  <c r="AN68"/>
  <c r="C4" i="41"/>
  <c r="C4" i="38"/>
  <c r="AN24" i="43"/>
  <c r="AG9"/>
  <c r="D39" i="35"/>
  <c r="AN61" i="43"/>
  <c r="AH9"/>
  <c r="C4" i="39"/>
  <c r="AN16" i="43"/>
  <c r="C4" i="40"/>
  <c r="AL35" i="43"/>
  <c r="AN21"/>
  <c r="AN69"/>
  <c r="AN26"/>
  <c r="AN62"/>
  <c r="AN63"/>
  <c r="AN70"/>
  <c r="AL37"/>
  <c r="AL36"/>
  <c r="AN65"/>
  <c r="AN64"/>
  <c r="AN71"/>
  <c r="S34" i="3"/>
  <c r="J210" i="30" s="1"/>
  <c r="E213"/>
  <c r="O41" i="7"/>
  <c r="F221" i="30" s="1"/>
  <c r="F218"/>
  <c r="Q37" i="3"/>
  <c r="H213" i="30" s="1"/>
  <c r="G28" i="3"/>
  <c r="H32" i="7" s="1"/>
  <c r="E50" i="21"/>
  <c r="H11" i="30"/>
  <c r="D23" i="21"/>
  <c r="H17" i="30"/>
  <c r="D29" i="21"/>
  <c r="I29" s="1"/>
  <c r="H15" i="30"/>
  <c r="D27" i="21"/>
  <c r="I27" s="1"/>
  <c r="E44"/>
  <c r="I44" s="1"/>
  <c r="H16" i="30"/>
  <c r="D28" i="21"/>
  <c r="I28" s="1"/>
  <c r="P18" i="7"/>
  <c r="T25" i="43"/>
  <c r="AF25" s="1"/>
  <c r="L25"/>
  <c r="M25"/>
  <c r="N25"/>
  <c r="P25" i="7"/>
  <c r="C13" i="14"/>
  <c r="J13" i="16" s="1"/>
  <c r="N20" i="43"/>
  <c r="M20"/>
  <c r="L20"/>
  <c r="T20"/>
  <c r="AF20" s="1"/>
  <c r="H10" i="30"/>
  <c r="U21" i="31"/>
  <c r="T22" s="1"/>
  <c r="AH21"/>
  <c r="AQ18"/>
  <c r="AC21"/>
  <c r="AE21" s="1"/>
  <c r="AK18"/>
  <c r="AA11" i="26"/>
  <c r="E11" i="21" s="1"/>
  <c r="G134" i="30" s="1"/>
  <c r="N28" i="7"/>
  <c r="F82" i="26"/>
  <c r="Y8"/>
  <c r="H119" i="30" s="1"/>
  <c r="E47" i="21" s="1"/>
  <c r="I47" s="1"/>
  <c r="M16" i="32"/>
  <c r="M17" s="1"/>
  <c r="AE15" i="31"/>
  <c r="E45" i="22"/>
  <c r="AE14" i="31"/>
  <c r="U16"/>
  <c r="U17" s="1"/>
  <c r="P35" i="22"/>
  <c r="G50" s="1"/>
  <c r="L21"/>
  <c r="E47" s="1"/>
  <c r="Q10" i="16"/>
  <c r="H27" s="1"/>
  <c r="G14" i="27"/>
  <c r="C14" i="21" s="1"/>
  <c r="Q37" i="15"/>
  <c r="H52" s="1"/>
  <c r="H14" i="27"/>
  <c r="C15" i="21" s="1"/>
  <c r="C9"/>
  <c r="K28" i="7"/>
  <c r="Q18"/>
  <c r="E27" i="14"/>
  <c r="R18" i="7"/>
  <c r="B13" i="14"/>
  <c r="I13" i="16" s="1"/>
  <c r="J28" i="7"/>
  <c r="E29" i="14"/>
  <c r="F47" i="15"/>
  <c r="E12" i="30"/>
  <c r="P22" i="32"/>
  <c r="Q16" i="25"/>
  <c r="F26" i="30" s="1"/>
  <c r="F23"/>
  <c r="J38" i="22"/>
  <c r="J22" i="15"/>
  <c r="J38"/>
  <c r="I13" i="18"/>
  <c r="R12"/>
  <c r="K36" i="15"/>
  <c r="K20"/>
  <c r="K20" i="22"/>
  <c r="K36"/>
  <c r="N22" i="15"/>
  <c r="N38" i="22"/>
  <c r="N38" i="15"/>
  <c r="G13" i="22"/>
  <c r="J12"/>
  <c r="I12"/>
  <c r="L12" s="1"/>
  <c r="P12" s="1"/>
  <c r="L15" i="16"/>
  <c r="D50" i="15"/>
  <c r="C36"/>
  <c r="C33"/>
  <c r="C32" s="1"/>
  <c r="L28" i="7"/>
  <c r="D13" i="14"/>
  <c r="K13" i="16" s="1"/>
  <c r="J20" i="22"/>
  <c r="J20" i="15"/>
  <c r="J36" i="22"/>
  <c r="J36" i="15"/>
  <c r="E47"/>
  <c r="P21"/>
  <c r="G47" s="1"/>
  <c r="AC16" i="31"/>
  <c r="AK16" s="1"/>
  <c r="AU16" s="1"/>
  <c r="AK13"/>
  <c r="AU13" s="1"/>
  <c r="M16"/>
  <c r="M17" s="1"/>
  <c r="BA19" i="25"/>
  <c r="Q25" i="7"/>
  <c r="Q28" s="1"/>
  <c r="Q31" s="1"/>
  <c r="E52" i="15"/>
  <c r="P37"/>
  <c r="G52" s="1"/>
  <c r="L8" i="22"/>
  <c r="P8" s="1"/>
  <c r="AR16" i="25"/>
  <c r="F65" i="30" s="1"/>
  <c r="F13"/>
  <c r="D36" i="21" s="1"/>
  <c r="G27" i="14"/>
  <c r="M37" i="4"/>
  <c r="C43" i="14" s="1"/>
  <c r="E45" i="15"/>
  <c r="P19"/>
  <c r="G45" s="1"/>
  <c r="N16" i="16"/>
  <c r="K16"/>
  <c r="J16"/>
  <c r="G17"/>
  <c r="G18" s="1"/>
  <c r="J18" s="1"/>
  <c r="I16"/>
  <c r="F27" i="4"/>
  <c r="I27"/>
  <c r="I32" s="1"/>
  <c r="D24" i="14" s="1"/>
  <c r="H27" i="4"/>
  <c r="H32" s="1"/>
  <c r="C24" i="14" s="1"/>
  <c r="E27" i="4"/>
  <c r="G27"/>
  <c r="G32" s="1"/>
  <c r="B24" i="14" s="1"/>
  <c r="AA12" i="26"/>
  <c r="J123" i="30" s="1"/>
  <c r="AE13" i="31"/>
  <c r="K22" i="15"/>
  <c r="K38" i="22"/>
  <c r="K22"/>
  <c r="K38" i="15"/>
  <c r="N22" i="22"/>
  <c r="J22"/>
  <c r="E52"/>
  <c r="P37"/>
  <c r="G52" s="1"/>
  <c r="G24" i="14"/>
  <c r="M36" i="4"/>
  <c r="C42" i="14" s="1"/>
  <c r="E50" i="15"/>
  <c r="P35"/>
  <c r="G50" s="1"/>
  <c r="M28" i="7"/>
  <c r="D10" i="21"/>
  <c r="F133" i="30" s="1"/>
  <c r="M13" i="25"/>
  <c r="BA13"/>
  <c r="E75" i="30" s="1"/>
  <c r="J75" s="1"/>
  <c r="BA15" i="25"/>
  <c r="BG15" s="1"/>
  <c r="K8" i="26"/>
  <c r="E93" i="30"/>
  <c r="E28" i="45" s="1"/>
  <c r="G31" i="13"/>
  <c r="N28"/>
  <c r="AC22" i="25"/>
  <c r="H44" i="30"/>
  <c r="F111"/>
  <c r="E80"/>
  <c r="J80" s="1"/>
  <c r="E124"/>
  <c r="E30" i="21" s="1"/>
  <c r="G12" i="15"/>
  <c r="K25"/>
  <c r="K9"/>
  <c r="K25" i="22"/>
  <c r="K9"/>
  <c r="G124" i="30"/>
  <c r="U13" i="25"/>
  <c r="E23" i="30"/>
  <c r="P16" i="25"/>
  <c r="U15"/>
  <c r="E25" i="30"/>
  <c r="J25" s="1"/>
  <c r="J28" i="22"/>
  <c r="K28"/>
  <c r="I28"/>
  <c r="G29"/>
  <c r="M28" i="13"/>
  <c r="J31"/>
  <c r="F31" i="30"/>
  <c r="H111"/>
  <c r="F44"/>
  <c r="H49"/>
  <c r="AU13" i="25"/>
  <c r="H62" i="30" s="1"/>
  <c r="AQ14" i="31"/>
  <c r="AW14" s="1"/>
  <c r="AM14"/>
  <c r="AH16"/>
  <c r="E76" i="30"/>
  <c r="J76" s="1"/>
  <c r="BG14" i="25"/>
  <c r="P16" i="32"/>
  <c r="U16" s="1"/>
  <c r="U17" s="1"/>
  <c r="U13"/>
  <c r="F98" i="30"/>
  <c r="J27" i="13"/>
  <c r="E27"/>
  <c r="L27"/>
  <c r="L30" s="1"/>
  <c r="K27"/>
  <c r="K30" s="1"/>
  <c r="I27"/>
  <c r="I30" s="1"/>
  <c r="D33" i="14" s="1"/>
  <c r="H27" i="13"/>
  <c r="H30" s="1"/>
  <c r="C33" i="14" s="1"/>
  <c r="F27" i="13"/>
  <c r="G27"/>
  <c r="I8" i="27"/>
  <c r="L30" i="15"/>
  <c r="P30" s="1"/>
  <c r="C5" i="21"/>
  <c r="N23"/>
  <c r="M6"/>
  <c r="E128" i="30"/>
  <c r="L6" i="21"/>
  <c r="L7"/>
  <c r="M7"/>
  <c r="E129" i="30"/>
  <c r="H39"/>
  <c r="AK16" i="25"/>
  <c r="F70" i="30"/>
  <c r="Q11" i="16"/>
  <c r="H28" s="1"/>
  <c r="F28"/>
  <c r="H55" i="30"/>
  <c r="AU19" i="25"/>
  <c r="H68" i="30" s="1"/>
  <c r="G57"/>
  <c r="C36" i="22"/>
  <c r="C33"/>
  <c r="C32" s="1"/>
  <c r="D50"/>
  <c r="U14" i="25"/>
  <c r="E24" i="30"/>
  <c r="J24" s="1"/>
  <c r="E28"/>
  <c r="J28" s="1"/>
  <c r="AU14" i="25"/>
  <c r="H63" i="30" s="1"/>
  <c r="H50"/>
  <c r="Y13" i="25"/>
  <c r="Y19"/>
  <c r="AE19" s="1"/>
  <c r="Z13" i="43" s="1"/>
  <c r="Y15" i="25"/>
  <c r="AH10"/>
  <c r="AQ10" s="1"/>
  <c r="Y18"/>
  <c r="Y20"/>
  <c r="AE20" s="1"/>
  <c r="AA13" i="43" s="1"/>
  <c r="Y14" i="25"/>
  <c r="F124" i="30"/>
  <c r="E41" i="21" s="1"/>
  <c r="I41" s="1"/>
  <c r="N18" i="16"/>
  <c r="H56" i="30"/>
  <c r="AU20" i="25"/>
  <c r="H69" i="30" s="1"/>
  <c r="E119"/>
  <c r="E25" i="21" s="1"/>
  <c r="G111" i="30"/>
  <c r="G70"/>
  <c r="I12" i="16"/>
  <c r="L12" s="1"/>
  <c r="E12" i="14"/>
  <c r="I10" i="16"/>
  <c r="L10" s="1"/>
  <c r="E10" i="14"/>
  <c r="H51" i="30"/>
  <c r="AU15" i="25"/>
  <c r="H64" i="30" s="1"/>
  <c r="Y15" i="32"/>
  <c r="AH10"/>
  <c r="AQ10" s="1"/>
  <c r="Y14"/>
  <c r="Y13"/>
  <c r="E11" i="14"/>
  <c r="I11" i="16"/>
  <c r="L11" s="1"/>
  <c r="E111" i="30"/>
  <c r="E22" i="45" s="1"/>
  <c r="E152" s="1"/>
  <c r="J152" s="1"/>
  <c r="E8" i="21"/>
  <c r="G130" i="30" s="1"/>
  <c r="AU18" i="25"/>
  <c r="H67" i="30" s="1"/>
  <c r="H54"/>
  <c r="K13" i="26"/>
  <c r="E98" i="30"/>
  <c r="E33" i="45" s="1"/>
  <c r="E153" s="1"/>
  <c r="J153" s="1"/>
  <c r="E106" i="30"/>
  <c r="E17" i="45" s="1"/>
  <c r="S8" i="26"/>
  <c r="H98" i="30"/>
  <c r="AM15" i="31"/>
  <c r="AQ15"/>
  <c r="AW15" s="1"/>
  <c r="J116" i="30"/>
  <c r="J22" i="31"/>
  <c r="AQ13"/>
  <c r="G33" i="15"/>
  <c r="J32"/>
  <c r="I32"/>
  <c r="N32"/>
  <c r="Q32" s="1"/>
  <c r="K32"/>
  <c r="L160" i="45" l="1"/>
  <c r="L155"/>
  <c r="L161"/>
  <c r="L163"/>
  <c r="L164"/>
  <c r="M156"/>
  <c r="L157"/>
  <c r="L158"/>
  <c r="L156"/>
  <c r="E176" i="30"/>
  <c r="E135" i="45" s="1"/>
  <c r="E165" s="1"/>
  <c r="J165" s="1"/>
  <c r="L165" s="1"/>
  <c r="E133"/>
  <c r="K153"/>
  <c r="N155"/>
  <c r="O156"/>
  <c r="N157"/>
  <c r="N158"/>
  <c r="N156"/>
  <c r="Y21" i="32"/>
  <c r="AE21" s="1"/>
  <c r="AC22" s="1"/>
  <c r="AH18"/>
  <c r="I36" i="21"/>
  <c r="E61"/>
  <c r="I50"/>
  <c r="G186" i="30" s="1"/>
  <c r="E186" s="1"/>
  <c r="I23" i="21"/>
  <c r="C63"/>
  <c r="N14" i="26"/>
  <c r="P22" i="31"/>
  <c r="X4" i="43"/>
  <c r="X5" s="1"/>
  <c r="AI5" s="1"/>
  <c r="E7" i="21"/>
  <c r="G129" i="30" s="1"/>
  <c r="T39" i="7"/>
  <c r="K219" i="30" s="1"/>
  <c r="I169"/>
  <c r="J128" i="45" s="1"/>
  <c r="M16" i="25"/>
  <c r="M17" s="1"/>
  <c r="K10" i="15"/>
  <c r="AI3" i="43"/>
  <c r="F3" i="39" s="1"/>
  <c r="E77" i="30"/>
  <c r="J77" s="1"/>
  <c r="AA10" i="26"/>
  <c r="E10" i="21" s="1"/>
  <c r="G133" i="30" s="1"/>
  <c r="F183"/>
  <c r="F142" i="45" s="1"/>
  <c r="R22" i="31"/>
  <c r="Q22"/>
  <c r="S22"/>
  <c r="K26" i="22"/>
  <c r="D58" i="21"/>
  <c r="E81" i="30"/>
  <c r="J81" s="1"/>
  <c r="BG19" i="25"/>
  <c r="Z16" i="43" s="1"/>
  <c r="G168" i="30"/>
  <c r="G171" s="1"/>
  <c r="E180"/>
  <c r="AL10" i="43"/>
  <c r="C3" i="40"/>
  <c r="C3" i="39"/>
  <c r="C3" i="41"/>
  <c r="C3" i="38"/>
  <c r="D38" i="35"/>
  <c r="AH3" i="43"/>
  <c r="AL18"/>
  <c r="AL23"/>
  <c r="AL51"/>
  <c r="AL39"/>
  <c r="AL33"/>
  <c r="AL29"/>
  <c r="AL30"/>
  <c r="AL44"/>
  <c r="AL16"/>
  <c r="AL31"/>
  <c r="AL45"/>
  <c r="AL32"/>
  <c r="AL46"/>
  <c r="AL47"/>
  <c r="AL48"/>
  <c r="AL49"/>
  <c r="BA21" i="25"/>
  <c r="F176" i="30"/>
  <c r="AG4" i="43"/>
  <c r="AH4"/>
  <c r="AL40"/>
  <c r="AE18" i="25"/>
  <c r="Y13" i="43" s="1"/>
  <c r="Y21" i="25"/>
  <c r="C9" i="14"/>
  <c r="V16" i="43"/>
  <c r="K26" i="15"/>
  <c r="B7" i="14"/>
  <c r="I8" i="16" s="1"/>
  <c r="W12" i="43"/>
  <c r="D9" i="14"/>
  <c r="U16" i="43"/>
  <c r="P28" i="7"/>
  <c r="G13" i="14" s="1"/>
  <c r="N13" i="16" s="1"/>
  <c r="F30" s="1"/>
  <c r="D60" i="21"/>
  <c r="E161" i="30"/>
  <c r="E163"/>
  <c r="I163" s="1"/>
  <c r="D62" i="21"/>
  <c r="I62" s="1"/>
  <c r="S37" i="3"/>
  <c r="J213" i="30" s="1"/>
  <c r="D20" i="39"/>
  <c r="D23"/>
  <c r="D24"/>
  <c r="D25"/>
  <c r="D4" i="38"/>
  <c r="E8" i="35" s="1"/>
  <c r="D4" i="41"/>
  <c r="D4" i="40"/>
  <c r="D4" i="39"/>
  <c r="E39" i="35"/>
  <c r="AG3" i="43"/>
  <c r="I225" i="30"/>
  <c r="T45" i="7"/>
  <c r="K225" i="30" s="1"/>
  <c r="E208"/>
  <c r="S32" i="3"/>
  <c r="J208" i="30" s="1"/>
  <c r="E55" i="21"/>
  <c r="I55" s="1"/>
  <c r="E58"/>
  <c r="C7" i="14"/>
  <c r="J8" i="16" s="1"/>
  <c r="V12" i="43"/>
  <c r="D7" i="14"/>
  <c r="K8" i="16" s="1"/>
  <c r="U12" i="43"/>
  <c r="E162" i="30"/>
  <c r="I162" s="1"/>
  <c r="D61" i="21"/>
  <c r="G174" i="30"/>
  <c r="I174" s="1"/>
  <c r="J133" i="45" s="1"/>
  <c r="E4" i="38"/>
  <c r="F8" i="35" s="1"/>
  <c r="E4" i="41"/>
  <c r="E4" i="40"/>
  <c r="E4" i="39"/>
  <c r="F39" i="35"/>
  <c r="F171" i="30"/>
  <c r="F130" i="45" s="1"/>
  <c r="I170" i="30"/>
  <c r="J129" i="45" s="1"/>
  <c r="R5" i="43"/>
  <c r="R6" s="1"/>
  <c r="R7" s="1"/>
  <c r="R8" s="1"/>
  <c r="I144" i="30"/>
  <c r="H195"/>
  <c r="C25" i="21"/>
  <c r="N5" i="43"/>
  <c r="I6"/>
  <c r="T5"/>
  <c r="AF5" s="1"/>
  <c r="L5"/>
  <c r="M5"/>
  <c r="E152" i="30"/>
  <c r="I149"/>
  <c r="I152" s="1"/>
  <c r="I156"/>
  <c r="E171"/>
  <c r="E130" i="45" s="1"/>
  <c r="F14" i="26"/>
  <c r="X9" i="43"/>
  <c r="AA8" i="26"/>
  <c r="J119" i="30" s="1"/>
  <c r="H121"/>
  <c r="E49" i="21" s="1"/>
  <c r="I49" s="1"/>
  <c r="G185" i="30" s="1"/>
  <c r="D6" i="21"/>
  <c r="F128" i="30" s="1"/>
  <c r="F131" s="1"/>
  <c r="E157"/>
  <c r="I157" s="1"/>
  <c r="D56" i="21"/>
  <c r="D22" i="40"/>
  <c r="D17"/>
  <c r="D24"/>
  <c r="D19"/>
  <c r="D8" i="35"/>
  <c r="C27" i="38"/>
  <c r="D31" i="35" s="1"/>
  <c r="E31" s="1"/>
  <c r="C22" i="38"/>
  <c r="D26" i="35" s="1"/>
  <c r="E26" s="1"/>
  <c r="C19" i="38"/>
  <c r="D23" i="35" s="1"/>
  <c r="E23" s="1"/>
  <c r="E145" i="30"/>
  <c r="I145" s="1"/>
  <c r="C56" i="21"/>
  <c r="I223" i="30"/>
  <c r="R46" i="7"/>
  <c r="T43"/>
  <c r="K223" i="30" s="1"/>
  <c r="F188"/>
  <c r="I224"/>
  <c r="T44" i="7"/>
  <c r="K224" i="30" s="1"/>
  <c r="R41" i="7"/>
  <c r="I221" i="30" s="1"/>
  <c r="H12"/>
  <c r="D24" i="21"/>
  <c r="I24" s="1"/>
  <c r="L5"/>
  <c r="M24" s="1"/>
  <c r="M5"/>
  <c r="M25" s="1"/>
  <c r="K5"/>
  <c r="M23" s="1"/>
  <c r="K9"/>
  <c r="K13" s="1"/>
  <c r="C13" i="40"/>
  <c r="AH25" i="43"/>
  <c r="E13" i="40" s="1"/>
  <c r="F57" i="35" s="1"/>
  <c r="AN25" i="43"/>
  <c r="AG25"/>
  <c r="D13" i="40" s="1"/>
  <c r="E57" i="35" s="1"/>
  <c r="AN20" i="43"/>
  <c r="C8" i="40"/>
  <c r="AG20" i="43"/>
  <c r="D8" i="40" s="1"/>
  <c r="E52" i="35" s="1"/>
  <c r="AH20" i="43"/>
  <c r="E8" i="40" s="1"/>
  <c r="F52" i="35" s="1"/>
  <c r="AC22" i="31"/>
  <c r="Y22"/>
  <c r="AQ21"/>
  <c r="AK21"/>
  <c r="AM21" s="1"/>
  <c r="AU18"/>
  <c r="J122" i="30"/>
  <c r="E12" i="21"/>
  <c r="G135" i="30" s="1"/>
  <c r="L20" i="15"/>
  <c r="E46" s="1"/>
  <c r="AE16" i="31"/>
  <c r="AE17" s="1"/>
  <c r="P21" i="22"/>
  <c r="G47" s="1"/>
  <c r="J23" i="30"/>
  <c r="BG13" i="25"/>
  <c r="H13" i="30"/>
  <c r="L36" i="15"/>
  <c r="E51" s="1"/>
  <c r="C16" i="21"/>
  <c r="M9"/>
  <c r="M136" i="30" s="1"/>
  <c r="C18" i="21"/>
  <c r="E140" i="30" s="1"/>
  <c r="C17" i="21"/>
  <c r="L39" s="1"/>
  <c r="E136" i="30"/>
  <c r="L9" i="21"/>
  <c r="L13" s="1"/>
  <c r="N12" i="16"/>
  <c r="P30" i="7"/>
  <c r="C41" i="14" s="1"/>
  <c r="L38" i="15"/>
  <c r="P38" s="1"/>
  <c r="G53" s="1"/>
  <c r="L22"/>
  <c r="E48" s="1"/>
  <c r="L36" i="22"/>
  <c r="P36" s="1"/>
  <c r="G51" s="1"/>
  <c r="L38"/>
  <c r="E53" s="1"/>
  <c r="L20"/>
  <c r="P20" s="1"/>
  <c r="G46" s="1"/>
  <c r="L22"/>
  <c r="E48" s="1"/>
  <c r="I14" i="26"/>
  <c r="BA16" i="25"/>
  <c r="BG16" s="1"/>
  <c r="BG17" s="1"/>
  <c r="I13" i="22"/>
  <c r="L13" s="1"/>
  <c r="P13" s="1"/>
  <c r="G14"/>
  <c r="J13"/>
  <c r="K13"/>
  <c r="AM13" i="31"/>
  <c r="K18" i="16"/>
  <c r="K17"/>
  <c r="L16"/>
  <c r="Q16"/>
  <c r="H33" s="1"/>
  <c r="F33"/>
  <c r="D51" i="15"/>
  <c r="C37"/>
  <c r="F53" i="22"/>
  <c r="Q38"/>
  <c r="H53" s="1"/>
  <c r="E32" i="18"/>
  <c r="F48" i="15"/>
  <c r="Q22"/>
  <c r="H48" s="1"/>
  <c r="I18" i="16"/>
  <c r="L13"/>
  <c r="P13" s="1"/>
  <c r="G30" s="1"/>
  <c r="N36" i="22"/>
  <c r="N20" i="15"/>
  <c r="N36"/>
  <c r="N20" i="22"/>
  <c r="P15" i="16"/>
  <c r="G32" s="1"/>
  <c r="E32"/>
  <c r="F48" i="22"/>
  <c r="Q22"/>
  <c r="H48" s="1"/>
  <c r="I14" i="18"/>
  <c r="R14" s="1"/>
  <c r="E34" s="1"/>
  <c r="R13"/>
  <c r="E33" s="1"/>
  <c r="AW13" i="31"/>
  <c r="J17" i="16"/>
  <c r="E13" i="14"/>
  <c r="F53" i="15"/>
  <c r="Q38"/>
  <c r="H53" s="1"/>
  <c r="E18" i="30"/>
  <c r="N33" i="15"/>
  <c r="Q33" s="1"/>
  <c r="I33"/>
  <c r="J33"/>
  <c r="K33"/>
  <c r="J106" i="30"/>
  <c r="J17" i="45" s="1"/>
  <c r="T8" i="26"/>
  <c r="O23" i="21"/>
  <c r="K129" i="30"/>
  <c r="E9" i="21"/>
  <c r="Z14" i="26"/>
  <c r="X16" s="1"/>
  <c r="E15" i="21" s="1"/>
  <c r="J124" i="30"/>
  <c r="L22" i="32"/>
  <c r="K22"/>
  <c r="J93" i="30"/>
  <c r="J28" i="45" s="1"/>
  <c r="L8" i="26"/>
  <c r="I28" i="3"/>
  <c r="J111" i="30"/>
  <c r="J22" i="45" s="1"/>
  <c r="R14" i="26"/>
  <c r="P12" i="16"/>
  <c r="G29" s="1"/>
  <c r="E29"/>
  <c r="F35"/>
  <c r="Q18"/>
  <c r="H35" s="1"/>
  <c r="AH20" i="25"/>
  <c r="AM20" s="1"/>
  <c r="AA14" i="43" s="1"/>
  <c r="E43" i="30"/>
  <c r="J43" s="1"/>
  <c r="E42"/>
  <c r="J42" s="1"/>
  <c r="AH19" i="25"/>
  <c r="AM19" s="1"/>
  <c r="Z14" i="43" s="1"/>
  <c r="D51" i="22"/>
  <c r="C37"/>
  <c r="L129" i="30"/>
  <c r="O24" i="21"/>
  <c r="C16" i="14" s="1"/>
  <c r="K128" i="30"/>
  <c r="M27" i="13"/>
  <c r="J30"/>
  <c r="M31"/>
  <c r="M34" s="1"/>
  <c r="E26" i="30"/>
  <c r="J26" s="1"/>
  <c r="U16" i="25"/>
  <c r="U17" s="1"/>
  <c r="I12" i="43" s="1"/>
  <c r="H57" i="30"/>
  <c r="AU21" i="25"/>
  <c r="P14" i="26"/>
  <c r="Q14"/>
  <c r="J22" i="32"/>
  <c r="L22" i="31"/>
  <c r="K22"/>
  <c r="E28" i="16"/>
  <c r="P11"/>
  <c r="G28" s="1"/>
  <c r="E36" i="30"/>
  <c r="J36" s="1"/>
  <c r="AH13" i="25"/>
  <c r="Y16"/>
  <c r="AE13"/>
  <c r="L128" i="30"/>
  <c r="N24" i="21"/>
  <c r="B16" i="14" s="1"/>
  <c r="N27" i="13"/>
  <c r="G30"/>
  <c r="B33" i="14" s="1"/>
  <c r="AE14" i="32"/>
  <c r="AH14"/>
  <c r="AE14" i="25"/>
  <c r="AH14"/>
  <c r="E37" i="30"/>
  <c r="J37" s="1"/>
  <c r="AE15" i="25"/>
  <c r="AH15"/>
  <c r="E38" i="30"/>
  <c r="J38" s="1"/>
  <c r="AU16" i="25"/>
  <c r="H65" i="30" s="1"/>
  <c r="H52"/>
  <c r="O25" i="21"/>
  <c r="C17" i="14" s="1"/>
  <c r="M129" i="30"/>
  <c r="M128"/>
  <c r="N25" i="21"/>
  <c r="B17" i="14" s="1"/>
  <c r="AE25" i="31"/>
  <c r="AD22"/>
  <c r="AE24"/>
  <c r="Z22"/>
  <c r="AB22"/>
  <c r="L22" i="25"/>
  <c r="D15" i="21" s="1"/>
  <c r="K22" i="25"/>
  <c r="D14" i="21" s="1"/>
  <c r="L32" i="15"/>
  <c r="P32" s="1"/>
  <c r="W14" i="26"/>
  <c r="L28" i="22"/>
  <c r="P28" s="1"/>
  <c r="V14" i="26"/>
  <c r="AH13" i="32"/>
  <c r="AE13"/>
  <c r="Y16"/>
  <c r="AH18" i="25"/>
  <c r="E41" i="30"/>
  <c r="J41" s="1"/>
  <c r="G128"/>
  <c r="J14" i="26"/>
  <c r="J98" i="30"/>
  <c r="H14" i="26"/>
  <c r="AE15" i="32"/>
  <c r="AH15"/>
  <c r="P10" i="16"/>
  <c r="G27" s="1"/>
  <c r="E27"/>
  <c r="Y14" i="26"/>
  <c r="W16" s="1"/>
  <c r="E14" i="21" s="1"/>
  <c r="H124" i="30"/>
  <c r="E52" i="21" s="1"/>
  <c r="I52" s="1"/>
  <c r="E31" i="30"/>
  <c r="J31" s="1"/>
  <c r="U21" i="25"/>
  <c r="AQ16" i="31"/>
  <c r="AW16" s="1"/>
  <c r="AW17" s="1"/>
  <c r="AM16"/>
  <c r="AM17" s="1"/>
  <c r="G30" i="22"/>
  <c r="J29"/>
  <c r="I29"/>
  <c r="K29"/>
  <c r="G13" i="15"/>
  <c r="J12"/>
  <c r="K12"/>
  <c r="I12"/>
  <c r="T22" i="32"/>
  <c r="R22"/>
  <c r="Q22"/>
  <c r="S22"/>
  <c r="N31" i="13"/>
  <c r="N34" s="1"/>
  <c r="E131" i="30"/>
  <c r="G14" i="26"/>
  <c r="X14"/>
  <c r="O14"/>
  <c r="J22" i="25"/>
  <c r="D13" i="21" s="1"/>
  <c r="B7" i="36" l="1"/>
  <c r="G7" s="1"/>
  <c r="L7" s="1"/>
  <c r="B7" i="37"/>
  <c r="J33" i="45"/>
  <c r="G180" i="30"/>
  <c r="G139" i="45" s="1"/>
  <c r="E139"/>
  <c r="G131" i="30"/>
  <c r="AH21" i="32"/>
  <c r="AQ18"/>
  <c r="G188" i="30"/>
  <c r="I61" i="21"/>
  <c r="I56"/>
  <c r="C58"/>
  <c r="I58" s="1"/>
  <c r="I25"/>
  <c r="E5"/>
  <c r="AI4" i="43"/>
  <c r="AM40" s="1"/>
  <c r="X6"/>
  <c r="X7" s="1"/>
  <c r="AM32"/>
  <c r="AK3"/>
  <c r="H3" i="41" s="1"/>
  <c r="AM44" i="43"/>
  <c r="AM18"/>
  <c r="G38" i="35"/>
  <c r="Q23" i="21"/>
  <c r="AM48" i="43"/>
  <c r="AM51"/>
  <c r="AM10"/>
  <c r="K136" i="30"/>
  <c r="AM46" i="43"/>
  <c r="AM33"/>
  <c r="F3" i="40"/>
  <c r="G21" s="1"/>
  <c r="AM47" i="43"/>
  <c r="AM45"/>
  <c r="AM29"/>
  <c r="AM23"/>
  <c r="F3" i="38"/>
  <c r="G7" i="35" s="1"/>
  <c r="AJ3" i="43"/>
  <c r="G3" i="38" s="1"/>
  <c r="H7" i="35" s="1"/>
  <c r="J121" i="30"/>
  <c r="AM49" i="43"/>
  <c r="AM31"/>
  <c r="AM30"/>
  <c r="AM39"/>
  <c r="F3" i="41"/>
  <c r="I168" i="30"/>
  <c r="J127" i="45" s="1"/>
  <c r="T41" i="7"/>
  <c r="K221" i="30" s="1"/>
  <c r="Q13" i="16"/>
  <c r="H30" s="1"/>
  <c r="D5" i="21"/>
  <c r="P20" i="15"/>
  <c r="G46" s="1"/>
  <c r="P31" i="7"/>
  <c r="L8" i="16"/>
  <c r="E25" s="1"/>
  <c r="E51" i="22"/>
  <c r="P36" i="15"/>
  <c r="G51" s="1"/>
  <c r="I171" i="30"/>
  <c r="J130" i="45" s="1"/>
  <c r="B9" i="14"/>
  <c r="E9" s="1"/>
  <c r="W16" i="43"/>
  <c r="E185" i="30"/>
  <c r="E144" i="45" s="1"/>
  <c r="D7" i="35"/>
  <c r="C14" i="38"/>
  <c r="D18" i="35" s="1"/>
  <c r="E18" s="1"/>
  <c r="P22" i="25"/>
  <c r="X12" i="43"/>
  <c r="AI12" s="1"/>
  <c r="B8" i="14"/>
  <c r="W13" i="43"/>
  <c r="E181" i="30"/>
  <c r="T6" i="43"/>
  <c r="AF6" s="1"/>
  <c r="M6"/>
  <c r="N6"/>
  <c r="I7"/>
  <c r="L6"/>
  <c r="E187" i="30"/>
  <c r="E146" i="45" s="1"/>
  <c r="AM18" i="25"/>
  <c r="Y14" i="43" s="1"/>
  <c r="AH21" i="25"/>
  <c r="C8" i="14"/>
  <c r="V13" i="43"/>
  <c r="N12"/>
  <c r="M12"/>
  <c r="T12"/>
  <c r="AF12" s="1"/>
  <c r="L12"/>
  <c r="I226" i="30"/>
  <c r="T46" i="7"/>
  <c r="K226" i="30" s="1"/>
  <c r="R9" i="43"/>
  <c r="AI9"/>
  <c r="AJ5"/>
  <c r="AK5"/>
  <c r="AM41"/>
  <c r="E164" i="30"/>
  <c r="I161"/>
  <c r="I164" s="1"/>
  <c r="BG21" i="25"/>
  <c r="BA22" s="1"/>
  <c r="E3" i="40"/>
  <c r="E3" i="38"/>
  <c r="F7" i="35" s="1"/>
  <c r="E3" i="41"/>
  <c r="E3" i="39"/>
  <c r="F38" i="35"/>
  <c r="D16" i="39"/>
  <c r="D17"/>
  <c r="D18"/>
  <c r="D19"/>
  <c r="G173" i="30"/>
  <c r="E60" i="21"/>
  <c r="I60" s="1"/>
  <c r="AH5" i="43"/>
  <c r="AG5"/>
  <c r="AL41"/>
  <c r="AK4"/>
  <c r="AJ4"/>
  <c r="D3" i="40"/>
  <c r="E38" i="35"/>
  <c r="D3" i="39"/>
  <c r="D3" i="41"/>
  <c r="D3" i="38"/>
  <c r="E7" i="35" s="1"/>
  <c r="AM16" i="43"/>
  <c r="E7" i="14"/>
  <c r="D57" i="21"/>
  <c r="I57" s="1"/>
  <c r="E158" i="30"/>
  <c r="I158" s="1"/>
  <c r="E147"/>
  <c r="I147" s="1"/>
  <c r="D8" i="14"/>
  <c r="U13" i="43"/>
  <c r="G16" i="39"/>
  <c r="G17"/>
  <c r="G19"/>
  <c r="G18"/>
  <c r="D16" i="40"/>
  <c r="D21"/>
  <c r="E63" i="21"/>
  <c r="H18" i="30"/>
  <c r="D30" i="21"/>
  <c r="I30" s="1"/>
  <c r="E138" i="30"/>
  <c r="L38" i="21"/>
  <c r="D23" i="40"/>
  <c r="D57" i="35"/>
  <c r="D52"/>
  <c r="D18" i="40"/>
  <c r="D16" i="21"/>
  <c r="G29" i="3"/>
  <c r="R20" i="43"/>
  <c r="X20"/>
  <c r="AI20" s="1"/>
  <c r="AU21" i="31"/>
  <c r="AW21" s="1"/>
  <c r="AK22"/>
  <c r="AM23"/>
  <c r="E139" i="30"/>
  <c r="E78"/>
  <c r="J78" s="1"/>
  <c r="M13" i="21"/>
  <c r="P22" i="22"/>
  <c r="G48" s="1"/>
  <c r="E30" i="16"/>
  <c r="L136" i="30"/>
  <c r="Q25" i="21"/>
  <c r="G17" i="14" s="1"/>
  <c r="N10" i="15" s="1"/>
  <c r="Q10" s="1"/>
  <c r="L40" i="21"/>
  <c r="P22" i="15"/>
  <c r="G48" s="1"/>
  <c r="Q24" i="21"/>
  <c r="G16" i="14" s="1"/>
  <c r="N9" i="22" s="1"/>
  <c r="Q9" s="1"/>
  <c r="E53" i="15"/>
  <c r="E46" i="22"/>
  <c r="P38"/>
  <c r="G53" s="1"/>
  <c r="F29" i="16"/>
  <c r="Q12"/>
  <c r="H29" s="1"/>
  <c r="I15" i="21"/>
  <c r="I18" s="1"/>
  <c r="R40" s="1"/>
  <c r="L131" i="30"/>
  <c r="E83"/>
  <c r="J83" s="1"/>
  <c r="Q36" i="22"/>
  <c r="H51" s="1"/>
  <c r="F51"/>
  <c r="L18" i="16"/>
  <c r="I14" i="22"/>
  <c r="L14" s="1"/>
  <c r="P14" s="1"/>
  <c r="G16"/>
  <c r="K14"/>
  <c r="J14"/>
  <c r="I14" i="21"/>
  <c r="I17" s="1"/>
  <c r="R39" s="1"/>
  <c r="F51" i="15"/>
  <c r="Q36"/>
  <c r="H51" s="1"/>
  <c r="F46" i="22"/>
  <c r="Q20"/>
  <c r="H46" s="1"/>
  <c r="K131" i="30"/>
  <c r="Q20" i="15"/>
  <c r="H46" s="1"/>
  <c r="F46"/>
  <c r="R19" i="18"/>
  <c r="D52" i="15"/>
  <c r="C38"/>
  <c r="D53" s="1"/>
  <c r="P16" i="16"/>
  <c r="G33" s="1"/>
  <c r="E33"/>
  <c r="D52" i="22"/>
  <c r="C38"/>
  <c r="D53" s="1"/>
  <c r="J32" i="7"/>
  <c r="E17" i="21"/>
  <c r="E18"/>
  <c r="G136" i="30"/>
  <c r="G7" i="14"/>
  <c r="N8" i="16" s="1"/>
  <c r="T22" i="25"/>
  <c r="R22"/>
  <c r="S22"/>
  <c r="Q22"/>
  <c r="AQ18"/>
  <c r="E54" i="30"/>
  <c r="J54" s="1"/>
  <c r="AM14" i="25"/>
  <c r="V14" i="43" s="1"/>
  <c r="AQ14" i="25"/>
  <c r="E50" i="30"/>
  <c r="J50" s="1"/>
  <c r="AM14" i="32"/>
  <c r="AQ14"/>
  <c r="AW14" s="1"/>
  <c r="I25" i="15"/>
  <c r="E16" i="14"/>
  <c r="I9" i="22"/>
  <c r="I25"/>
  <c r="I9" i="15"/>
  <c r="E49" i="30"/>
  <c r="J49" s="1"/>
  <c r="AQ13" i="25"/>
  <c r="AM13"/>
  <c r="W14" i="43" s="1"/>
  <c r="V16" i="26"/>
  <c r="E13" i="21" s="1"/>
  <c r="E16" s="1"/>
  <c r="M131" i="30"/>
  <c r="L33" i="15"/>
  <c r="P33" s="1"/>
  <c r="AM25" i="31"/>
  <c r="AL22"/>
  <c r="AM24"/>
  <c r="AI22"/>
  <c r="AH16" i="32"/>
  <c r="AE16"/>
  <c r="AE17" s="1"/>
  <c r="F136" i="30"/>
  <c r="D17" i="21"/>
  <c r="D18"/>
  <c r="AM15" i="25"/>
  <c r="U14" i="43" s="1"/>
  <c r="E51" i="30"/>
  <c r="J51" s="1"/>
  <c r="AQ15" i="25"/>
  <c r="E44" i="30"/>
  <c r="AE21" i="25"/>
  <c r="AQ13" i="32"/>
  <c r="AW13" s="1"/>
  <c r="AM13"/>
  <c r="I26" i="15"/>
  <c r="E17" i="14"/>
  <c r="I10" i="22"/>
  <c r="I26"/>
  <c r="I10" i="15"/>
  <c r="Y22" i="32"/>
  <c r="N30" i="13"/>
  <c r="N33" s="1"/>
  <c r="B45" i="14" s="1"/>
  <c r="AH16" i="25"/>
  <c r="AE16"/>
  <c r="AE17" s="1"/>
  <c r="I13" i="43" s="1"/>
  <c r="E39" i="30"/>
  <c r="J39" s="1"/>
  <c r="J9" i="22"/>
  <c r="J25" i="15"/>
  <c r="J25" i="22"/>
  <c r="J9" i="15"/>
  <c r="AQ19" i="25"/>
  <c r="E55" i="30"/>
  <c r="J55" s="1"/>
  <c r="H29" i="3"/>
  <c r="F29"/>
  <c r="E29"/>
  <c r="D29"/>
  <c r="L12" i="15"/>
  <c r="P12" s="1"/>
  <c r="K30" i="22"/>
  <c r="G32"/>
  <c r="J30"/>
  <c r="I30"/>
  <c r="AQ15" i="32"/>
  <c r="AW15" s="1"/>
  <c r="AM15"/>
  <c r="I13" i="15"/>
  <c r="K13"/>
  <c r="G14"/>
  <c r="J13"/>
  <c r="J10" i="22"/>
  <c r="J26" i="15"/>
  <c r="J26" i="22"/>
  <c r="J10" i="15"/>
  <c r="E33" i="14"/>
  <c r="I17" i="16"/>
  <c r="L17" s="1"/>
  <c r="H70" i="30"/>
  <c r="M30" i="13"/>
  <c r="G33" i="14" s="1"/>
  <c r="N17" i="16" s="1"/>
  <c r="E56" i="30"/>
  <c r="J56" s="1"/>
  <c r="AQ20" i="25"/>
  <c r="L29" i="22"/>
  <c r="P29" s="1"/>
  <c r="AH22" i="31"/>
  <c r="G181" i="30" l="1"/>
  <c r="G140" i="45" s="1"/>
  <c r="E140"/>
  <c r="B9" i="37"/>
  <c r="B10" s="1"/>
  <c r="G7"/>
  <c r="L7" s="1"/>
  <c r="F14" i="38"/>
  <c r="G18" i="35" s="1"/>
  <c r="H18" s="1"/>
  <c r="AQ21" i="32"/>
  <c r="AW21" s="1"/>
  <c r="AU22" s="1"/>
  <c r="AM21"/>
  <c r="AI6" i="43"/>
  <c r="AM42" s="1"/>
  <c r="H3" i="38"/>
  <c r="I7" i="35" s="1"/>
  <c r="H3" i="40"/>
  <c r="I38" i="35"/>
  <c r="H3" i="39"/>
  <c r="G3"/>
  <c r="G16" i="40"/>
  <c r="G3"/>
  <c r="H38" i="35"/>
  <c r="G3" i="41"/>
  <c r="G9" i="14"/>
  <c r="BB22" i="25"/>
  <c r="BF22"/>
  <c r="BC22"/>
  <c r="E8" i="14"/>
  <c r="P8" i="16"/>
  <c r="G25" s="1"/>
  <c r="E67" i="30"/>
  <c r="J67" s="1"/>
  <c r="AW18" i="25"/>
  <c r="Y15" i="43" s="1"/>
  <c r="Y22" i="25"/>
  <c r="X13" i="43"/>
  <c r="AI13" s="1"/>
  <c r="AE23" i="32"/>
  <c r="AE23" i="31"/>
  <c r="X8" i="43"/>
  <c r="AI8" s="1"/>
  <c r="AI7"/>
  <c r="AH6"/>
  <c r="AG6"/>
  <c r="AL42"/>
  <c r="AK9"/>
  <c r="AO19"/>
  <c r="AO60"/>
  <c r="F4" i="40"/>
  <c r="AO61" i="43"/>
  <c r="AJ9"/>
  <c r="F4" i="41"/>
  <c r="AO24" i="43"/>
  <c r="F4" i="38"/>
  <c r="F4" i="39"/>
  <c r="AO67" i="43"/>
  <c r="AO68"/>
  <c r="G39" i="35"/>
  <c r="AO69" i="43"/>
  <c r="AO26"/>
  <c r="AM35"/>
  <c r="AO21"/>
  <c r="AO62"/>
  <c r="AO63"/>
  <c r="AM36"/>
  <c r="AM37"/>
  <c r="AO70"/>
  <c r="AO64"/>
  <c r="AO65"/>
  <c r="AO71"/>
  <c r="E68" i="30"/>
  <c r="J68" s="1"/>
  <c r="AW19" i="25"/>
  <c r="Z15" i="43" s="1"/>
  <c r="AL12"/>
  <c r="AH12"/>
  <c r="E7" i="38" s="1"/>
  <c r="C7"/>
  <c r="AG12" i="43"/>
  <c r="D7" i="38" s="1"/>
  <c r="E188" i="30"/>
  <c r="E147" i="45" s="1"/>
  <c r="E166" s="1"/>
  <c r="J166" s="1"/>
  <c r="L166" s="1"/>
  <c r="E69" i="30"/>
  <c r="J69" s="1"/>
  <c r="AW20" i="25"/>
  <c r="AA15" i="43" s="1"/>
  <c r="N13"/>
  <c r="L13"/>
  <c r="M13"/>
  <c r="T13"/>
  <c r="AF13" s="1"/>
  <c r="D63" i="21"/>
  <c r="I63" s="1"/>
  <c r="I13"/>
  <c r="I16" s="1"/>
  <c r="H138" i="30" s="1"/>
  <c r="E182"/>
  <c r="G176"/>
  <c r="I173"/>
  <c r="X16" i="43"/>
  <c r="AI16" s="1"/>
  <c r="BE22" i="25"/>
  <c r="E159" i="30"/>
  <c r="I159" s="1"/>
  <c r="I8" i="43"/>
  <c r="N7"/>
  <c r="L7"/>
  <c r="M7"/>
  <c r="T7"/>
  <c r="AF7" s="1"/>
  <c r="F7" i="38"/>
  <c r="AM12" i="43"/>
  <c r="AK12"/>
  <c r="H7" i="38" s="1"/>
  <c r="AJ12" i="43"/>
  <c r="G7" i="38" s="1"/>
  <c r="F8" i="40"/>
  <c r="AK20" i="43"/>
  <c r="H8" i="40" s="1"/>
  <c r="I52" i="35" s="1"/>
  <c r="AJ20" i="43"/>
  <c r="G8" i="40" s="1"/>
  <c r="H52" i="35" s="1"/>
  <c r="AO20" i="43"/>
  <c r="H33" i="7"/>
  <c r="X25" i="43"/>
  <c r="AI25" s="1"/>
  <c r="R25"/>
  <c r="K33" i="7"/>
  <c r="K34" s="1"/>
  <c r="AU22" i="31"/>
  <c r="N10" i="22"/>
  <c r="Q10" s="1"/>
  <c r="N26"/>
  <c r="Q26" s="1"/>
  <c r="N26" i="15"/>
  <c r="Q26" s="1"/>
  <c r="N25" i="22"/>
  <c r="Q25" s="1"/>
  <c r="N9" i="15"/>
  <c r="Q9" s="1"/>
  <c r="N25"/>
  <c r="Q25" s="1"/>
  <c r="H140" i="30"/>
  <c r="AW24" i="31"/>
  <c r="H139" i="30"/>
  <c r="I16" i="22"/>
  <c r="N16"/>
  <c r="Q16" s="1"/>
  <c r="G17"/>
  <c r="K16"/>
  <c r="J16"/>
  <c r="L10" i="15"/>
  <c r="P10" s="1"/>
  <c r="Y25" i="18"/>
  <c r="Y27"/>
  <c r="R25"/>
  <c r="P29" s="1"/>
  <c r="R27"/>
  <c r="P31" s="1"/>
  <c r="X25"/>
  <c r="G19" i="14" s="1"/>
  <c r="X27" i="18"/>
  <c r="G21" i="14" s="1"/>
  <c r="X26" i="18"/>
  <c r="G20" i="14" s="1"/>
  <c r="R26" i="18"/>
  <c r="P30" s="1"/>
  <c r="P18" i="16"/>
  <c r="G35" s="1"/>
  <c r="E35"/>
  <c r="L30" i="22"/>
  <c r="P30" s="1"/>
  <c r="L25"/>
  <c r="P25" s="1"/>
  <c r="G138" i="30"/>
  <c r="N38" i="21"/>
  <c r="E52" i="30"/>
  <c r="J52" s="1"/>
  <c r="AM16" i="25"/>
  <c r="AM17" s="1"/>
  <c r="I14" i="43" s="1"/>
  <c r="AQ16" i="25"/>
  <c r="AE25"/>
  <c r="G8" i="14"/>
  <c r="AE24" i="25"/>
  <c r="AD22"/>
  <c r="AB22"/>
  <c r="Z22"/>
  <c r="M39" i="21"/>
  <c r="F139" i="30"/>
  <c r="AW14" i="25"/>
  <c r="V15" i="43" s="1"/>
  <c r="E63" i="30"/>
  <c r="J63" s="1"/>
  <c r="F25" i="16"/>
  <c r="Q8"/>
  <c r="H25" s="1"/>
  <c r="N39" i="21"/>
  <c r="G139" i="30"/>
  <c r="L10" i="22"/>
  <c r="P10" s="1"/>
  <c r="L9" i="15"/>
  <c r="P9" s="1"/>
  <c r="L25"/>
  <c r="P25" s="1"/>
  <c r="G16"/>
  <c r="K14"/>
  <c r="J14"/>
  <c r="N14"/>
  <c r="Q14" s="1"/>
  <c r="I14"/>
  <c r="J32" i="22"/>
  <c r="G33"/>
  <c r="N32"/>
  <c r="Q32" s="1"/>
  <c r="I32"/>
  <c r="K32"/>
  <c r="AE24" i="32"/>
  <c r="AE25"/>
  <c r="AD22"/>
  <c r="Z22"/>
  <c r="AB22"/>
  <c r="E57" i="30"/>
  <c r="J57" s="1"/>
  <c r="AQ21" i="25"/>
  <c r="AW21" s="1"/>
  <c r="AM21"/>
  <c r="E64" i="30"/>
  <c r="J64" s="1"/>
  <c r="AW15" i="25"/>
  <c r="U15" i="43" s="1"/>
  <c r="F138" i="30"/>
  <c r="M38" i="21"/>
  <c r="AQ16" i="32"/>
  <c r="AW16" s="1"/>
  <c r="AW17" s="1"/>
  <c r="AM16"/>
  <c r="AM17" s="1"/>
  <c r="G140" i="30"/>
  <c r="N40" i="21"/>
  <c r="M33" i="13"/>
  <c r="C45" i="14" s="1"/>
  <c r="L26" i="22"/>
  <c r="P26" s="1"/>
  <c r="F34" i="16"/>
  <c r="Q17"/>
  <c r="H34" s="1"/>
  <c r="P17"/>
  <c r="G34" s="1"/>
  <c r="E34"/>
  <c r="F140" i="30"/>
  <c r="M40" i="21"/>
  <c r="AW13" i="25"/>
  <c r="W15" i="43" s="1"/>
  <c r="E62" i="30"/>
  <c r="J62" s="1"/>
  <c r="G33" i="7"/>
  <c r="F33"/>
  <c r="I33"/>
  <c r="E33"/>
  <c r="D33"/>
  <c r="L13" i="15"/>
  <c r="P13" s="1"/>
  <c r="L26"/>
  <c r="P26" s="1"/>
  <c r="L9" i="22"/>
  <c r="P9" s="1"/>
  <c r="I176" i="30" l="1"/>
  <c r="J135" i="45" s="1"/>
  <c r="J132"/>
  <c r="G182" i="30"/>
  <c r="G141" i="45" s="1"/>
  <c r="E141"/>
  <c r="AK6" i="43"/>
  <c r="AJ6"/>
  <c r="AK22" i="32"/>
  <c r="AM25"/>
  <c r="I43" i="35"/>
  <c r="I11"/>
  <c r="F11"/>
  <c r="F43"/>
  <c r="AK7" i="43"/>
  <c r="AJ7"/>
  <c r="G4" i="38"/>
  <c r="H8" i="35" s="1"/>
  <c r="G4" i="39"/>
  <c r="H39" i="35"/>
  <c r="G4" i="40"/>
  <c r="G4" i="41"/>
  <c r="L14" i="43"/>
  <c r="N14"/>
  <c r="M14"/>
  <c r="T14"/>
  <c r="AF14" s="1"/>
  <c r="F15" i="38"/>
  <c r="G19" i="35" s="1"/>
  <c r="H19" s="1"/>
  <c r="G11"/>
  <c r="G43"/>
  <c r="F23" i="38"/>
  <c r="G27" i="35" s="1"/>
  <c r="H27" s="1"/>
  <c r="AO16" i="43"/>
  <c r="AJ16"/>
  <c r="G11" i="38" s="1"/>
  <c r="F11"/>
  <c r="AK16" i="43"/>
  <c r="H11" i="38" s="1"/>
  <c r="AH13" i="43"/>
  <c r="AG13"/>
  <c r="AL13"/>
  <c r="E43" i="35"/>
  <c r="E11"/>
  <c r="G8"/>
  <c r="F22" i="38"/>
  <c r="G26" i="35" s="1"/>
  <c r="H26" s="1"/>
  <c r="H4" i="39"/>
  <c r="H4" i="38"/>
  <c r="I8" i="35" s="1"/>
  <c r="H4" i="41"/>
  <c r="I39" i="35"/>
  <c r="H4" i="40"/>
  <c r="AM13" i="43"/>
  <c r="AK13"/>
  <c r="AJ13"/>
  <c r="F24" i="38"/>
  <c r="G28" i="35" s="1"/>
  <c r="H28" s="1"/>
  <c r="E183" i="30"/>
  <c r="G20" i="39"/>
  <c r="G23"/>
  <c r="G25"/>
  <c r="G24"/>
  <c r="AK8" i="43"/>
  <c r="AJ8"/>
  <c r="X14"/>
  <c r="AI14" s="1"/>
  <c r="AM25" i="25"/>
  <c r="AM23"/>
  <c r="AI22"/>
  <c r="AK22"/>
  <c r="AM23" i="32"/>
  <c r="AN23" i="31"/>
  <c r="X15" i="43"/>
  <c r="AI15" s="1"/>
  <c r="AW25" i="25"/>
  <c r="AW24"/>
  <c r="AW23" i="32"/>
  <c r="AU22" i="25"/>
  <c r="H11" i="35"/>
  <c r="H43"/>
  <c r="AG7" i="43"/>
  <c r="AH7"/>
  <c r="L8"/>
  <c r="T8"/>
  <c r="AF8" s="1"/>
  <c r="N8"/>
  <c r="M8"/>
  <c r="D43" i="35"/>
  <c r="C15" i="38"/>
  <c r="D19" i="35" s="1"/>
  <c r="E19" s="1"/>
  <c r="D11"/>
  <c r="C23" i="38"/>
  <c r="D27" i="35" s="1"/>
  <c r="E27" s="1"/>
  <c r="G22" i="40"/>
  <c r="G17"/>
  <c r="G24"/>
  <c r="G19"/>
  <c r="AW23" i="31"/>
  <c r="AH22" i="25"/>
  <c r="G52" i="35"/>
  <c r="G18" i="40"/>
  <c r="F13"/>
  <c r="AK25" i="43"/>
  <c r="H13" i="40" s="1"/>
  <c r="I57" i="35" s="1"/>
  <c r="AJ25" i="43"/>
  <c r="G13" i="40" s="1"/>
  <c r="H57" i="35" s="1"/>
  <c r="AO25" i="43"/>
  <c r="AQ22" i="31"/>
  <c r="AW25"/>
  <c r="AV22"/>
  <c r="AS22"/>
  <c r="R38" i="21"/>
  <c r="AR22" i="31"/>
  <c r="L32" i="22"/>
  <c r="P32" s="1"/>
  <c r="N30" i="15"/>
  <c r="Q30" s="1"/>
  <c r="N14" i="22"/>
  <c r="Q14" s="1"/>
  <c r="N30"/>
  <c r="Q30" s="1"/>
  <c r="N28" i="15"/>
  <c r="Q28" s="1"/>
  <c r="N12" i="22"/>
  <c r="Q12" s="1"/>
  <c r="N28"/>
  <c r="Q28" s="1"/>
  <c r="N12" i="15"/>
  <c r="Q12" s="1"/>
  <c r="K17" i="22"/>
  <c r="J17"/>
  <c r="I17"/>
  <c r="N17"/>
  <c r="Q17" s="1"/>
  <c r="N29" i="15"/>
  <c r="Q29" s="1"/>
  <c r="N13" i="22"/>
  <c r="Q13" s="1"/>
  <c r="N29"/>
  <c r="Q29" s="1"/>
  <c r="N13" i="15"/>
  <c r="Q13" s="1"/>
  <c r="L16" i="22"/>
  <c r="P16" s="1"/>
  <c r="E70" i="30"/>
  <c r="J70" s="1"/>
  <c r="AQ22" i="25"/>
  <c r="I33" i="22"/>
  <c r="N33"/>
  <c r="Q33" s="1"/>
  <c r="J33"/>
  <c r="K33"/>
  <c r="AL22" i="32"/>
  <c r="AM24"/>
  <c r="AI22"/>
  <c r="AQ22"/>
  <c r="E65" i="30"/>
  <c r="J65" s="1"/>
  <c r="AW16" i="25"/>
  <c r="AW17" s="1"/>
  <c r="I15" i="43" s="1"/>
  <c r="AM24" i="25"/>
  <c r="AL22"/>
  <c r="J16" i="15"/>
  <c r="G17"/>
  <c r="I16"/>
  <c r="N16"/>
  <c r="Q16" s="1"/>
  <c r="K16"/>
  <c r="L14"/>
  <c r="P14" s="1"/>
  <c r="AH22" i="32"/>
  <c r="G183" i="30" l="1"/>
  <c r="G142" i="45" s="1"/>
  <c r="E142"/>
  <c r="AH8" i="43"/>
  <c r="AG8"/>
  <c r="H44" i="35"/>
  <c r="H12"/>
  <c r="C24" i="38"/>
  <c r="D28" i="35" s="1"/>
  <c r="E28" s="1"/>
  <c r="D44"/>
  <c r="C16" i="38"/>
  <c r="D20" i="35" s="1"/>
  <c r="E20" s="1"/>
  <c r="D12"/>
  <c r="AK14" i="43"/>
  <c r="AJ14"/>
  <c r="AM14"/>
  <c r="G4" i="36"/>
  <c r="E4"/>
  <c r="I12" i="35"/>
  <c r="I44"/>
  <c r="I47"/>
  <c r="I15"/>
  <c r="AH14" i="43"/>
  <c r="AG14"/>
  <c r="AL14"/>
  <c r="AJ15"/>
  <c r="AM15"/>
  <c r="AK15"/>
  <c r="E4" i="37"/>
  <c r="G4"/>
  <c r="E44" i="35"/>
  <c r="E12"/>
  <c r="F19" i="38"/>
  <c r="G23" i="35" s="1"/>
  <c r="H23" s="1"/>
  <c r="G15"/>
  <c r="F27" i="38"/>
  <c r="G31" i="35" s="1"/>
  <c r="H31" s="1"/>
  <c r="G47"/>
  <c r="L15" i="43"/>
  <c r="T15"/>
  <c r="AF15" s="1"/>
  <c r="N15"/>
  <c r="M15"/>
  <c r="F16" i="38"/>
  <c r="G20" i="35" s="1"/>
  <c r="H20" s="1"/>
  <c r="G12"/>
  <c r="G44"/>
  <c r="F44"/>
  <c r="F12"/>
  <c r="H47"/>
  <c r="H15"/>
  <c r="G57"/>
  <c r="G23" i="40"/>
  <c r="L16" i="15"/>
  <c r="P16" s="1"/>
  <c r="L33" i="22"/>
  <c r="P33" s="1"/>
  <c r="L17"/>
  <c r="P17" s="1"/>
  <c r="AW25" i="32"/>
  <c r="AW24"/>
  <c r="AV22"/>
  <c r="AS22"/>
  <c r="AR22"/>
  <c r="N17" i="15"/>
  <c r="Q17" s="1"/>
  <c r="J17"/>
  <c r="I17"/>
  <c r="K17"/>
  <c r="AV22" i="25"/>
  <c r="AR22"/>
  <c r="AS22"/>
  <c r="E45" i="35" l="1"/>
  <c r="E13"/>
  <c r="E5" i="37"/>
  <c r="G5"/>
  <c r="H14" i="35"/>
  <c r="H46"/>
  <c r="H45"/>
  <c r="H13"/>
  <c r="AG15" i="43"/>
  <c r="AH15"/>
  <c r="AL15"/>
  <c r="L4" i="37"/>
  <c r="O4" s="1"/>
  <c r="J4"/>
  <c r="F26" i="38"/>
  <c r="G30" i="35" s="1"/>
  <c r="H30" s="1"/>
  <c r="F18" i="38"/>
  <c r="G22" i="35" s="1"/>
  <c r="H22" s="1"/>
  <c r="G46"/>
  <c r="G14"/>
  <c r="F13"/>
  <c r="F45"/>
  <c r="G5" i="36"/>
  <c r="E5"/>
  <c r="I14" i="35"/>
  <c r="I46"/>
  <c r="F25" i="38"/>
  <c r="G29" i="35" s="1"/>
  <c r="H29" s="1"/>
  <c r="F17" i="38"/>
  <c r="G21" i="35" s="1"/>
  <c r="H21" s="1"/>
  <c r="G13"/>
  <c r="G45"/>
  <c r="D45"/>
  <c r="D13"/>
  <c r="C25" i="38"/>
  <c r="D29" i="35" s="1"/>
  <c r="E29" s="1"/>
  <c r="C17" i="38"/>
  <c r="D21" i="35" s="1"/>
  <c r="E21" s="1"/>
  <c r="J4" i="36"/>
  <c r="L4"/>
  <c r="O4" s="1"/>
  <c r="I45" i="35"/>
  <c r="I13"/>
  <c r="L17" i="15"/>
  <c r="P17" s="1"/>
  <c r="L5" i="37" l="1"/>
  <c r="O5" s="1"/>
  <c r="J5"/>
  <c r="F14" i="35"/>
  <c r="F46"/>
  <c r="G6" i="36"/>
  <c r="E6"/>
  <c r="C18" i="38"/>
  <c r="D22" i="35" s="1"/>
  <c r="E22" s="1"/>
  <c r="C26" i="38"/>
  <c r="D30" i="35" s="1"/>
  <c r="E30" s="1"/>
  <c r="D14"/>
  <c r="D46"/>
  <c r="G6" i="37"/>
  <c r="E6"/>
  <c r="L5" i="36"/>
  <c r="O5" s="1"/>
  <c r="J5"/>
  <c r="E46" i="35"/>
  <c r="E14"/>
  <c r="L6" i="37" l="1"/>
  <c r="O6" s="1"/>
  <c r="J6"/>
  <c r="J6" i="36"/>
  <c r="L6"/>
  <c r="O6" s="1"/>
  <c r="G4" i="45"/>
</calcChain>
</file>

<file path=xl/comments1.xml><?xml version="1.0" encoding="utf-8"?>
<comments xmlns="http://schemas.openxmlformats.org/spreadsheetml/2006/main">
  <authors>
    <author>Ouxm</author>
    <author>ouxm</author>
    <author>user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m3 for CNG; KWh for EV.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If you change this parameter, all the other values in column F and G will be changed correspondingly.</t>
        </r>
      </text>
    </comment>
    <comment ref="C4" authorId="1">
      <text>
        <r>
          <rPr>
            <b/>
            <sz val="9"/>
            <color indexed="81"/>
            <rFont val="宋体"/>
            <family val="3"/>
            <charset val="134"/>
          </rPr>
          <t>ouxm:</t>
        </r>
        <r>
          <rPr>
            <sz val="9"/>
            <color indexed="81"/>
            <rFont val="宋体"/>
            <family val="3"/>
            <charset val="134"/>
          </rPr>
          <t xml:space="preserve">
concave P 19:汽油1.9MJ/km;柴油1.72MJ/km</t>
        </r>
      </text>
    </comment>
    <comment ref="B5" authorId="1">
      <text>
        <r>
          <rPr>
            <b/>
            <sz val="9"/>
            <color indexed="81"/>
            <rFont val="宋体"/>
            <family val="3"/>
            <charset val="134"/>
          </rPr>
          <t>ouxm:</t>
        </r>
        <r>
          <rPr>
            <sz val="9"/>
            <color indexed="81"/>
            <rFont val="宋体"/>
            <family val="3"/>
            <charset val="134"/>
          </rPr>
          <t xml:space="preserve">
综合concave和greet结果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m3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  <comment ref="C6" authorId="1">
      <text/>
    </comment>
    <comment ref="B9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行驶效率来源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充电损失未考虑，</t>
        </r>
        <r>
          <rPr>
            <sz val="9"/>
            <color indexed="81"/>
            <rFont val="Tahoma"/>
            <family val="2"/>
          </rPr>
          <t>10%</t>
        </r>
        <r>
          <rPr>
            <sz val="9"/>
            <color indexed="81"/>
            <rFont val="宋体"/>
            <family val="3"/>
            <charset val="134"/>
          </rPr>
          <t>甚至更多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kwh</t>
        </r>
      </text>
    </comment>
    <comment ref="A138" authorId="2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宋体"/>
            <family val="3"/>
            <charset val="134"/>
          </rPr>
          <t xml:space="preserve">增加
</t>
        </r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分地区电动汽车表项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Ouxm</author>
  </authors>
  <commentList>
    <comment ref="F8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Shoba</t>
        </r>
        <r>
          <rPr>
            <sz val="9"/>
            <color indexed="81"/>
            <rFont val="宋体"/>
            <family val="3"/>
            <charset val="134"/>
          </rPr>
          <t>认为没有变化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没有</t>
        </r>
        <r>
          <rPr>
            <sz val="9"/>
            <color indexed="81"/>
            <rFont val="Tahoma"/>
            <family val="2"/>
          </rPr>
          <t>CCS</t>
        </r>
        <r>
          <rPr>
            <sz val="9"/>
            <color indexed="81"/>
            <rFont val="宋体"/>
            <family val="3"/>
            <charset val="134"/>
          </rPr>
          <t>时候，消耗的煤炭的</t>
        </r>
        <r>
          <rPr>
            <sz val="9"/>
            <color indexed="81"/>
            <rFont val="Tahoma"/>
            <family val="2"/>
          </rPr>
          <t>LCA</t>
        </r>
        <r>
          <rPr>
            <sz val="9"/>
            <color indexed="81"/>
            <rFont val="宋体"/>
            <family val="3"/>
            <charset val="134"/>
          </rPr>
          <t>碳排放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捕获率</t>
        </r>
        <r>
          <rPr>
            <sz val="9"/>
            <color indexed="81"/>
            <rFont val="Tahoma"/>
            <family val="2"/>
          </rPr>
          <t xml:space="preserve">74%
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没有</t>
        </r>
        <r>
          <rPr>
            <sz val="9"/>
            <color indexed="81"/>
            <rFont val="Tahoma"/>
            <family val="2"/>
          </rPr>
          <t>CCS</t>
        </r>
        <r>
          <rPr>
            <sz val="9"/>
            <color indexed="81"/>
            <rFont val="宋体"/>
            <family val="3"/>
            <charset val="134"/>
          </rPr>
          <t>时候，消耗的煤炭的</t>
        </r>
        <r>
          <rPr>
            <sz val="9"/>
            <color indexed="81"/>
            <rFont val="Tahoma"/>
            <family val="2"/>
          </rPr>
          <t>LCA</t>
        </r>
        <r>
          <rPr>
            <sz val="9"/>
            <color indexed="81"/>
            <rFont val="宋体"/>
            <family val="3"/>
            <charset val="134"/>
          </rPr>
          <t>碳排放</t>
        </r>
      </text>
    </comment>
    <comment ref="M22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捕获率</t>
        </r>
        <r>
          <rPr>
            <sz val="9"/>
            <color indexed="81"/>
            <rFont val="Tahoma"/>
            <family val="2"/>
          </rPr>
          <t xml:space="preserve">74%
</t>
        </r>
      </text>
    </comment>
  </commentList>
</comments>
</file>

<file path=xl/comments11.xml><?xml version="1.0" encoding="utf-8"?>
<comments xmlns="http://schemas.openxmlformats.org/spreadsheetml/2006/main">
  <authors>
    <author>Ouxm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10kW (peak battery power)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20 kW (peak battery power)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欧训民假设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欧训民假设</t>
        </r>
      </text>
    </comment>
  </commentList>
</comments>
</file>

<file path=xl/comments12.xml><?xml version="1.0" encoding="utf-8"?>
<comments xmlns="http://schemas.openxmlformats.org/spreadsheetml/2006/main">
  <authors>
    <author>Ouxm</author>
  </authors>
  <commentList>
    <comment ref="K21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assumed by OU
</t>
        </r>
      </text>
    </comment>
  </commentList>
</comments>
</file>

<file path=xl/comments13.xml><?xml version="1.0" encoding="utf-8"?>
<comments xmlns="http://schemas.openxmlformats.org/spreadsheetml/2006/main">
  <authors>
    <author>Ouxm</author>
  </authors>
  <commentList>
    <comment ref="H9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折合能源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Assumed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100kg~1kWp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假设</t>
        </r>
        <r>
          <rPr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宋体"/>
            <family val="3"/>
            <charset val="134"/>
          </rPr>
          <t>年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J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这章的开采等环节算法与</t>
        </r>
        <r>
          <rPr>
            <sz val="9"/>
            <color indexed="81"/>
            <rFont val="Tahoma"/>
            <family val="2"/>
          </rPr>
          <t>LC SE</t>
        </r>
        <r>
          <rPr>
            <sz val="9"/>
            <color indexed="81"/>
            <rFont val="宋体"/>
            <family val="3"/>
            <charset val="134"/>
          </rPr>
          <t>中定义的不一样，与</t>
        </r>
        <r>
          <rPr>
            <sz val="9"/>
            <color indexed="81"/>
            <rFont val="Tahoma"/>
            <family val="2"/>
          </rPr>
          <t>oilbased</t>
        </r>
        <r>
          <rPr>
            <sz val="9"/>
            <color indexed="81"/>
            <rFont val="宋体"/>
            <family val="3"/>
            <charset val="134"/>
          </rPr>
          <t>也不一致，到底以何为准？</t>
        </r>
      </text>
    </comment>
    <comment ref="L1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这里面的</t>
        </r>
        <r>
          <rPr>
            <sz val="9"/>
            <color indexed="81"/>
            <rFont val="Tahoma"/>
            <family val="2"/>
          </rPr>
          <t>5770</t>
        </r>
        <r>
          <rPr>
            <sz val="9"/>
            <color indexed="81"/>
            <rFont val="宋体"/>
            <family val="3"/>
            <charset val="134"/>
          </rPr>
          <t>是啥意思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这公式里最后</t>
        </r>
        <r>
          <rPr>
            <sz val="9"/>
            <color indexed="81"/>
            <rFont val="Tahoma"/>
            <family val="2"/>
          </rPr>
          <t>+72/D5*F5</t>
        </r>
        <r>
          <rPr>
            <sz val="9"/>
            <color indexed="81"/>
            <rFont val="宋体"/>
            <family val="3"/>
            <charset val="134"/>
          </rPr>
          <t>是啥意思</t>
        </r>
      </text>
    </comment>
  </commentList>
</comments>
</file>

<file path=xl/comments3.xml><?xml version="1.0" encoding="utf-8"?>
<comments xmlns="http://schemas.openxmlformats.org/spreadsheetml/2006/main">
  <authors>
    <author>Ouxm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Shell</t>
        </r>
        <r>
          <rPr>
            <sz val="9"/>
            <color indexed="81"/>
            <rFont val="宋体"/>
            <family val="3"/>
            <charset val="134"/>
          </rPr>
          <t>提供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xie 2011 (</t>
        </r>
        <r>
          <rPr>
            <sz val="9"/>
            <color indexed="81"/>
            <rFont val="宋体"/>
            <family val="3"/>
            <charset val="134"/>
          </rPr>
          <t>低值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4.xml><?xml version="1.0" encoding="utf-8"?>
<comments xmlns="http://schemas.openxmlformats.org/spreadsheetml/2006/main">
  <authors>
    <author>Ouxm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Shell</t>
        </r>
        <r>
          <rPr>
            <sz val="9"/>
            <color indexed="81"/>
            <rFont val="宋体"/>
            <family val="3"/>
            <charset val="134"/>
          </rPr>
          <t>提供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欧训民假设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注意：电不是</t>
        </r>
        <r>
          <rPr>
            <sz val="9"/>
            <color indexed="81"/>
            <rFont val="Tahoma"/>
            <family val="2"/>
          </rPr>
          <t>CCS</t>
        </r>
        <r>
          <rPr>
            <sz val="9"/>
            <color indexed="81"/>
            <rFont val="宋体"/>
            <family val="3"/>
            <charset val="134"/>
          </rPr>
          <t>电。</t>
        </r>
      </text>
    </comment>
    <comment ref="M16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压缩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吨耗</t>
        </r>
        <r>
          <rPr>
            <sz val="9"/>
            <color indexed="81"/>
            <rFont val="Tahoma"/>
            <family val="2"/>
          </rPr>
          <t>140</t>
        </r>
        <r>
          <rPr>
            <sz val="9"/>
            <color indexed="81"/>
            <rFont val="宋体"/>
            <family val="3"/>
            <charset val="134"/>
          </rPr>
          <t>度电，但是是内部提供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注意：电不是</t>
        </r>
        <r>
          <rPr>
            <sz val="9"/>
            <color indexed="81"/>
            <rFont val="Tahoma"/>
            <family val="2"/>
          </rPr>
          <t>CCS</t>
        </r>
        <r>
          <rPr>
            <sz val="9"/>
            <color indexed="81"/>
            <rFont val="宋体"/>
            <family val="3"/>
            <charset val="134"/>
          </rPr>
          <t>电。</t>
        </r>
      </text>
    </comment>
    <comment ref="M22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Ouxm:
</t>
        </r>
        <r>
          <rPr>
            <sz val="9"/>
            <color indexed="81"/>
            <rFont val="宋体"/>
            <family val="3"/>
            <charset val="134"/>
          </rPr>
          <t>压缩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吨耗</t>
        </r>
        <r>
          <rPr>
            <sz val="9"/>
            <color indexed="81"/>
            <rFont val="Tahoma"/>
            <family val="2"/>
          </rPr>
          <t>140</t>
        </r>
        <r>
          <rPr>
            <sz val="9"/>
            <color indexed="81"/>
            <rFont val="宋体"/>
            <family val="3"/>
            <charset val="134"/>
          </rPr>
          <t>度电</t>
        </r>
      </text>
    </comment>
  </commentList>
</comments>
</file>

<file path=xl/comments5.xml><?xml version="1.0" encoding="utf-8"?>
<comments xmlns="http://schemas.openxmlformats.org/spreadsheetml/2006/main">
  <authors>
    <author>user</author>
    <author>ouxm</author>
    <author>作者</author>
  </authors>
  <commentList>
    <comment ref="H1" authorId="0">
      <text>
        <r>
          <rPr>
            <sz val="9"/>
            <color indexed="81"/>
            <rFont val="宋体"/>
            <family val="3"/>
            <charset val="134"/>
          </rPr>
          <t xml:space="preserve">问题：
</t>
        </r>
        <r>
          <rPr>
            <sz val="9"/>
            <color indexed="81"/>
            <rFont val="Tahoma"/>
            <family val="2"/>
          </rPr>
          <t>1.oilbased</t>
        </r>
        <r>
          <rPr>
            <sz val="9"/>
            <color indexed="81"/>
            <rFont val="宋体"/>
            <family val="3"/>
            <charset val="134"/>
          </rPr>
          <t>与</t>
        </r>
        <r>
          <rPr>
            <sz val="9"/>
            <color indexed="81"/>
            <rFont val="Tahoma"/>
            <family val="2"/>
          </rPr>
          <t>LCSE</t>
        </r>
        <r>
          <rPr>
            <sz val="9"/>
            <color indexed="81"/>
            <rFont val="宋体"/>
            <family val="3"/>
            <charset val="134"/>
          </rPr>
          <t>中能源转化效率（</t>
        </r>
        <r>
          <rPr>
            <sz val="9"/>
            <color indexed="81"/>
            <rFont val="Tahoma"/>
            <family val="2"/>
          </rPr>
          <t>1-a%</t>
        </r>
        <r>
          <rPr>
            <sz val="9"/>
            <color indexed="81"/>
            <rFont val="宋体"/>
            <family val="3"/>
            <charset val="134"/>
          </rPr>
          <t>）和（</t>
        </r>
        <r>
          <rPr>
            <sz val="9"/>
            <color indexed="81"/>
            <rFont val="Tahoma"/>
            <family val="2"/>
          </rPr>
          <t>1/a%-1</t>
        </r>
        <r>
          <rPr>
            <sz val="9"/>
            <color indexed="81"/>
            <rFont val="宋体"/>
            <family val="3"/>
            <charset val="134"/>
          </rPr>
          <t xml:space="preserve">）有别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这章的两个原始数据表，其中的数据来源具体是哪里？这个对于整个报告的可靠性非常关键，报告和模型中都未体现，请提供依据。</t>
        </r>
      </text>
    </comment>
    <comment ref="AF1" authorId="1">
      <text>
        <r>
          <rPr>
            <b/>
            <sz val="9"/>
            <color indexed="81"/>
            <rFont val="宋体"/>
            <family val="3"/>
            <charset val="134"/>
          </rPr>
          <t>ouxm:</t>
        </r>
        <r>
          <rPr>
            <sz val="9"/>
            <color indexed="81"/>
            <rFont val="宋体"/>
            <family val="3"/>
            <charset val="134"/>
          </rPr>
          <t xml:space="preserve">
2010年测算的2007版本数值</t>
        </r>
      </text>
    </comment>
    <comment ref="Z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数据来源？</t>
        </r>
      </text>
    </comment>
    <comment ref="AC8" authorId="2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在汽车中使用时为0.002；其他用途时为0.028</t>
        </r>
      </text>
    </comment>
    <comment ref="S11" authorId="2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09年线损率为6.72%；
2010：:6.53%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不同电力种类比例</t>
        </r>
      </text>
    </comment>
  </commentList>
</comments>
</file>

<file path=xl/comments6.xml><?xml version="1.0" encoding="utf-8"?>
<comments xmlns="http://schemas.openxmlformats.org/spreadsheetml/2006/main">
  <authors>
    <author>ouxm</author>
  </authors>
  <commentList>
    <comment ref="B15" authorId="0">
      <text/>
    </comment>
    <comment ref="B19" authorId="0">
      <text>
        <r>
          <rPr>
            <b/>
            <sz val="9"/>
            <color indexed="81"/>
            <rFont val="宋体"/>
            <family val="3"/>
            <charset val="134"/>
          </rPr>
          <t>ouxm:
程昊反映：1吨LNG相当于0.9吨柴油。测算为气油比126:100</t>
        </r>
      </text>
    </comment>
  </commentList>
</comments>
</file>

<file path=xl/comments7.xml><?xml version="1.0" encoding="utf-8"?>
<comments xmlns="http://schemas.openxmlformats.org/spreadsheetml/2006/main">
  <authors>
    <author>Ouxm</author>
    <author>ouxm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m3 for CNG; KWh for EV.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If you change this parameter, all the other values in column F and G will be changed correspondingly.</t>
        </r>
      </text>
    </comment>
    <comment ref="C4" authorId="1">
      <text>
        <r>
          <rPr>
            <b/>
            <sz val="9"/>
            <color indexed="81"/>
            <rFont val="宋体"/>
            <family val="3"/>
            <charset val="134"/>
          </rPr>
          <t>ouxm:</t>
        </r>
        <r>
          <rPr>
            <sz val="9"/>
            <color indexed="81"/>
            <rFont val="宋体"/>
            <family val="3"/>
            <charset val="134"/>
          </rPr>
          <t xml:space="preserve">
综合concave和greet结果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m3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  <comment ref="D5" authorId="1">
      <text/>
    </comment>
    <comment ref="D17" authorId="1">
      <text>
        <r>
          <rPr>
            <b/>
            <sz val="9"/>
            <color indexed="81"/>
            <rFont val="宋体"/>
            <family val="3"/>
            <charset val="134"/>
          </rPr>
          <t>ouxm:</t>
        </r>
        <r>
          <rPr>
            <sz val="9"/>
            <color indexed="81"/>
            <rFont val="宋体"/>
            <family val="3"/>
            <charset val="134"/>
          </rPr>
          <t xml:space="preserve">
concave P 19:汽油1.9MJ/km;柴油1.72MJ/km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kwh</t>
        </r>
      </text>
    </comment>
    <comment ref="H23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kwh</t>
        </r>
      </text>
    </comment>
  </commentList>
</comments>
</file>

<file path=xl/comments8.xml><?xml version="1.0" encoding="utf-8"?>
<comments xmlns="http://schemas.openxmlformats.org/spreadsheetml/2006/main">
  <authors>
    <author>Ouxm</author>
  </authors>
  <commentList>
    <comment ref="AD1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现状：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升车</t>
        </r>
      </text>
    </comment>
  </commentList>
</comments>
</file>

<file path=xl/comments9.xml><?xml version="1.0" encoding="utf-8"?>
<comments xmlns="http://schemas.openxmlformats.org/spreadsheetml/2006/main">
  <authors>
    <author>Ouxm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shoba</t>
        </r>
        <r>
          <rPr>
            <sz val="9"/>
            <color indexed="81"/>
            <rFont val="宋体"/>
            <family val="3"/>
            <charset val="134"/>
          </rPr>
          <t>平均效率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没有</t>
        </r>
        <r>
          <rPr>
            <sz val="9"/>
            <color indexed="81"/>
            <rFont val="Tahoma"/>
            <family val="2"/>
          </rPr>
          <t>CCS</t>
        </r>
        <r>
          <rPr>
            <sz val="9"/>
            <color indexed="81"/>
            <rFont val="宋体"/>
            <family val="3"/>
            <charset val="134"/>
          </rPr>
          <t>时候，消耗的煤炭的</t>
        </r>
        <r>
          <rPr>
            <sz val="9"/>
            <color indexed="81"/>
            <rFont val="Tahoma"/>
            <family val="2"/>
          </rPr>
          <t>LCA</t>
        </r>
        <r>
          <rPr>
            <sz val="9"/>
            <color indexed="81"/>
            <rFont val="宋体"/>
            <family val="3"/>
            <charset val="134"/>
          </rPr>
          <t>碳排放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没有</t>
        </r>
        <r>
          <rPr>
            <sz val="9"/>
            <color indexed="81"/>
            <rFont val="Tahoma"/>
            <family val="2"/>
          </rPr>
          <t>CCS</t>
        </r>
        <r>
          <rPr>
            <sz val="9"/>
            <color indexed="81"/>
            <rFont val="宋体"/>
            <family val="3"/>
            <charset val="134"/>
          </rPr>
          <t>时候，消耗的煤炭的</t>
        </r>
        <r>
          <rPr>
            <sz val="9"/>
            <color indexed="81"/>
            <rFont val="Tahoma"/>
            <family val="2"/>
          </rPr>
          <t>LCA</t>
        </r>
        <r>
          <rPr>
            <sz val="9"/>
            <color indexed="81"/>
            <rFont val="宋体"/>
            <family val="3"/>
            <charset val="134"/>
          </rPr>
          <t>碳排放</t>
        </r>
      </text>
    </comment>
  </commentList>
</comments>
</file>

<file path=xl/sharedStrings.xml><?xml version="1.0" encoding="utf-8"?>
<sst xmlns="http://schemas.openxmlformats.org/spreadsheetml/2006/main" count="2735" uniqueCount="1126">
  <si>
    <t>PF</t>
  </si>
  <si>
    <t>PE: coal</t>
  </si>
  <si>
    <t>PE: NG</t>
  </si>
  <si>
    <t>PE: oil</t>
  </si>
  <si>
    <t>MJ/MJ</t>
  </si>
  <si>
    <t>Diesel</t>
  </si>
  <si>
    <t>Gasoline</t>
  </si>
  <si>
    <t>Residual oil</t>
  </si>
  <si>
    <t>Electricity</t>
  </si>
  <si>
    <t>g/MJ</t>
  </si>
  <si>
    <t>mg/MJ</t>
  </si>
  <si>
    <t>-</t>
  </si>
  <si>
    <t>Pathway</t>
  </si>
  <si>
    <t>Time</t>
  </si>
  <si>
    <t>/%</t>
  </si>
  <si>
    <t>Note</t>
  </si>
  <si>
    <t>Current</t>
  </si>
  <si>
    <t>Process fuel</t>
  </si>
  <si>
    <t>Table 6 Basic parameters of coal-based electricity pathways</t>
  </si>
  <si>
    <t>Unit size/MW</t>
  </si>
  <si>
    <t xml:space="preserve"> / %</t>
  </si>
  <si>
    <t>USC</t>
  </si>
  <si>
    <t>IGCC</t>
  </si>
  <si>
    <t>300~600</t>
  </si>
  <si>
    <t>plant</t>
  </si>
  <si>
    <t>coal</t>
  </si>
  <si>
    <t>coal</t>
    <phoneticPr fontId="9" type="noConversion"/>
  </si>
  <si>
    <t>electricity</t>
  </si>
  <si>
    <t>electricity</t>
    <phoneticPr fontId="9" type="noConversion"/>
  </si>
  <si>
    <t>transport</t>
  </si>
  <si>
    <t>diesel</t>
    <phoneticPr fontId="9" type="noConversion"/>
  </si>
  <si>
    <t>gasoline</t>
    <phoneticPr fontId="9" type="noConversion"/>
  </si>
  <si>
    <t>residual oil</t>
    <phoneticPr fontId="9" type="noConversion"/>
  </si>
  <si>
    <t>lc NG</t>
  </si>
  <si>
    <t>lc NG</t>
    <phoneticPr fontId="9" type="noConversion"/>
  </si>
  <si>
    <t>Lc Petroluem</t>
  </si>
  <si>
    <t>Lc Petroluem</t>
    <phoneticPr fontId="9" type="noConversion"/>
  </si>
  <si>
    <t>CO2</t>
    <phoneticPr fontId="9" type="noConversion"/>
  </si>
  <si>
    <t>LC CO2</t>
  </si>
  <si>
    <t>LC CO2</t>
    <phoneticPr fontId="9" type="noConversion"/>
  </si>
  <si>
    <t>CH4</t>
    <phoneticPr fontId="9" type="noConversion"/>
  </si>
  <si>
    <t>N2O</t>
    <phoneticPr fontId="9" type="noConversion"/>
  </si>
  <si>
    <t>LC CH4</t>
  </si>
  <si>
    <t>LC CH4</t>
    <phoneticPr fontId="9" type="noConversion"/>
  </si>
  <si>
    <t>LC N2O</t>
  </si>
  <si>
    <t>LC N2O</t>
    <phoneticPr fontId="9" type="noConversion"/>
  </si>
  <si>
    <t>kj</t>
    <phoneticPr fontId="9" type="noConversion"/>
  </si>
  <si>
    <t>Mj</t>
  </si>
  <si>
    <t>Mj</t>
    <phoneticPr fontId="9" type="noConversion"/>
  </si>
  <si>
    <t>g</t>
  </si>
  <si>
    <t>g</t>
    <phoneticPr fontId="9" type="noConversion"/>
  </si>
  <si>
    <t>mg</t>
  </si>
  <si>
    <t>mg</t>
    <phoneticPr fontId="9" type="noConversion"/>
  </si>
  <si>
    <t>LC GHG</t>
  </si>
  <si>
    <t>LC GHG</t>
    <phoneticPr fontId="9" type="noConversion"/>
  </si>
  <si>
    <t xml:space="preserve">The average loss rate during transmission was </t>
    <phoneticPr fontId="9" type="noConversion"/>
  </si>
  <si>
    <t>in 2020</t>
    <phoneticPr fontId="9" type="noConversion"/>
  </si>
  <si>
    <t xml:space="preserve"> and predicted to reduce to</t>
    <phoneticPr fontId="9" type="noConversion"/>
  </si>
  <si>
    <r>
      <t>in 2008 (</t>
    </r>
    <r>
      <rPr>
        <sz val="10.5"/>
        <color indexed="10"/>
        <rFont val="Times New Roman"/>
        <family val="1"/>
      </rPr>
      <t>Zhang, 2009</t>
    </r>
    <r>
      <rPr>
        <sz val="10.5"/>
        <color indexed="8"/>
        <rFont val="Times New Roman"/>
        <family val="1"/>
      </rPr>
      <t>)</t>
    </r>
    <phoneticPr fontId="9" type="noConversion"/>
  </si>
  <si>
    <t>EN</t>
    <phoneticPr fontId="9" type="noConversion"/>
  </si>
  <si>
    <t>LC Coal</t>
  </si>
  <si>
    <t>LC Coal</t>
    <phoneticPr fontId="9" type="noConversion"/>
  </si>
  <si>
    <t>BEV</t>
    <phoneticPr fontId="9" type="noConversion"/>
  </si>
  <si>
    <t>liter/100km</t>
    <phoneticPr fontId="9" type="noConversion"/>
  </si>
  <si>
    <t>kWh/100km</t>
    <phoneticPr fontId="9" type="noConversion"/>
  </si>
  <si>
    <t xml:space="preserve">equal to </t>
    <phoneticPr fontId="9" type="noConversion"/>
  </si>
  <si>
    <t>MJ/km</t>
    <phoneticPr fontId="9" type="noConversion"/>
  </si>
  <si>
    <t>IGCC+CCS</t>
    <phoneticPr fontId="9" type="noConversion"/>
  </si>
  <si>
    <t>加入CCS</t>
    <phoneticPr fontId="9" type="noConversion"/>
  </si>
  <si>
    <t>含在燃料中</t>
    <phoneticPr fontId="9" type="noConversion"/>
  </si>
  <si>
    <t>工厂生产</t>
    <phoneticPr fontId="9" type="noConversion"/>
  </si>
  <si>
    <t>被捕获</t>
    <phoneticPr fontId="9" type="noConversion"/>
  </si>
  <si>
    <t>耗电</t>
    <phoneticPr fontId="9" type="noConversion"/>
  </si>
  <si>
    <t>kJ</t>
    <phoneticPr fontId="9" type="noConversion"/>
  </si>
  <si>
    <t>LC EC</t>
    <phoneticPr fontId="9" type="noConversion"/>
  </si>
  <si>
    <t>coal</t>
    <phoneticPr fontId="9" type="noConversion"/>
  </si>
  <si>
    <t>NG</t>
    <phoneticPr fontId="9" type="noConversion"/>
  </si>
  <si>
    <t>百分比</t>
    <phoneticPr fontId="9" type="noConversion"/>
  </si>
  <si>
    <t>Petroleum</t>
    <phoneticPr fontId="9" type="noConversion"/>
  </si>
  <si>
    <t>Direct CtL</t>
    <phoneticPr fontId="9" type="noConversion"/>
  </si>
  <si>
    <t>best</t>
    <phoneticPr fontId="9" type="noConversion"/>
  </si>
  <si>
    <t>worst</t>
    <phoneticPr fontId="9" type="noConversion"/>
  </si>
  <si>
    <t>USC+CCS</t>
    <phoneticPr fontId="9" type="noConversion"/>
  </si>
  <si>
    <t>USC+CCS</t>
    <phoneticPr fontId="9" type="noConversion"/>
  </si>
  <si>
    <t>%</t>
    <phoneticPr fontId="9" type="noConversion"/>
  </si>
  <si>
    <t>倒数</t>
    <phoneticPr fontId="9" type="noConversion"/>
  </si>
  <si>
    <t>coal</t>
    <phoneticPr fontId="9" type="noConversion"/>
  </si>
  <si>
    <t>注意：</t>
    <phoneticPr fontId="9" type="noConversion"/>
  </si>
  <si>
    <r>
      <t>gasoline</t>
    </r>
    <r>
      <rPr>
        <sz val="11"/>
        <color indexed="8"/>
        <rFont val="宋体"/>
        <family val="3"/>
        <charset val="134"/>
      </rPr>
      <t xml:space="preserve"> vehicle</t>
    </r>
    <phoneticPr fontId="9" type="noConversion"/>
  </si>
  <si>
    <t>NG vehicle</t>
    <phoneticPr fontId="9" type="noConversion"/>
  </si>
  <si>
    <r>
      <t>c</t>
    </r>
    <r>
      <rPr>
        <sz val="11"/>
        <color indexed="8"/>
        <rFont val="宋体"/>
        <family val="3"/>
        <charset val="134"/>
      </rPr>
      <t>ubic meter/100km</t>
    </r>
    <phoneticPr fontId="9" type="noConversion"/>
  </si>
  <si>
    <t>shell低效率</t>
    <phoneticPr fontId="9" type="noConversion"/>
  </si>
  <si>
    <r>
      <t>x</t>
    </r>
    <r>
      <rPr>
        <sz val="11"/>
        <color indexed="8"/>
        <rFont val="宋体"/>
        <family val="3"/>
        <charset val="134"/>
      </rPr>
      <t>ie相对shell较高效率</t>
    </r>
    <phoneticPr fontId="9" type="noConversion"/>
  </si>
  <si>
    <t>current</t>
    <phoneticPr fontId="9" type="noConversion"/>
  </si>
  <si>
    <r>
      <t>每MJ捕获</t>
    </r>
    <r>
      <rPr>
        <sz val="11"/>
        <color indexed="8"/>
        <rFont val="宋体"/>
        <family val="3"/>
        <charset val="134"/>
      </rPr>
      <t>CO2</t>
    </r>
    <phoneticPr fontId="9" type="noConversion"/>
  </si>
  <si>
    <t>全生命周期捕获率</t>
    <phoneticPr fontId="9" type="noConversion"/>
  </si>
  <si>
    <t>全生命周期效率</t>
    <phoneticPr fontId="9" type="noConversion"/>
  </si>
  <si>
    <t>汽柴油/CNG运输格局</t>
    <phoneticPr fontId="9" type="noConversion"/>
  </si>
  <si>
    <t>替代燃料可以认为与之相同</t>
    <phoneticPr fontId="9" type="noConversion"/>
  </si>
  <si>
    <t xml:space="preserve">The average using rate during transmission was </t>
    <phoneticPr fontId="9" type="noConversion"/>
  </si>
  <si>
    <t>低</t>
    <phoneticPr fontId="22" type="noConversion"/>
  </si>
  <si>
    <t>高</t>
    <phoneticPr fontId="22" type="noConversion"/>
  </si>
  <si>
    <t>SNG-CCS效率损失</t>
    <phoneticPr fontId="9" type="noConversion"/>
  </si>
  <si>
    <t>CTL</t>
    <phoneticPr fontId="22" type="noConversion"/>
  </si>
  <si>
    <r>
      <t>c</t>
    </r>
    <r>
      <rPr>
        <sz val="11"/>
        <color indexed="8"/>
        <rFont val="宋体"/>
        <family val="3"/>
        <charset val="134"/>
      </rPr>
      <t>oal to power</t>
    </r>
    <phoneticPr fontId="22" type="noConversion"/>
  </si>
  <si>
    <r>
      <t>S</t>
    </r>
    <r>
      <rPr>
        <sz val="11"/>
        <color indexed="8"/>
        <rFont val="宋体"/>
        <family val="3"/>
        <charset val="134"/>
      </rPr>
      <t>NG</t>
    </r>
    <phoneticPr fontId="22" type="noConversion"/>
  </si>
  <si>
    <t>CTL+CCS</t>
    <phoneticPr fontId="22" type="noConversion"/>
  </si>
  <si>
    <t>IGCC</t>
    <phoneticPr fontId="22" type="noConversion"/>
  </si>
  <si>
    <t>cte+CCS</t>
  </si>
  <si>
    <t>cte+CCS</t>
    <phoneticPr fontId="22" type="noConversion"/>
  </si>
  <si>
    <t>IGCC+CCS</t>
  </si>
  <si>
    <t>IGCC+CCS</t>
    <phoneticPr fontId="22" type="noConversion"/>
  </si>
  <si>
    <t>SNG+CCS</t>
    <phoneticPr fontId="22" type="noConversion"/>
  </si>
  <si>
    <t>coal</t>
    <phoneticPr fontId="22" type="noConversion"/>
  </si>
  <si>
    <t>NG</t>
    <phoneticPr fontId="22" type="noConversion"/>
  </si>
  <si>
    <t>petroluem</t>
    <phoneticPr fontId="22" type="noConversion"/>
  </si>
  <si>
    <r>
      <t>G</t>
    </r>
    <r>
      <rPr>
        <sz val="11"/>
        <color indexed="8"/>
        <rFont val="宋体"/>
        <family val="3"/>
        <charset val="134"/>
      </rPr>
      <t>HG</t>
    </r>
    <phoneticPr fontId="22" type="noConversion"/>
  </si>
  <si>
    <r>
      <t>E</t>
    </r>
    <r>
      <rPr>
        <sz val="11"/>
        <color indexed="8"/>
        <rFont val="宋体"/>
        <family val="3"/>
        <charset val="134"/>
      </rPr>
      <t>F</t>
    </r>
    <phoneticPr fontId="22" type="noConversion"/>
  </si>
  <si>
    <t>低+CCS</t>
    <phoneticPr fontId="9" type="noConversion"/>
  </si>
  <si>
    <t>高+CCS</t>
    <phoneticPr fontId="9" type="noConversion"/>
  </si>
  <si>
    <t>total EF</t>
    <phoneticPr fontId="22" type="noConversion"/>
  </si>
  <si>
    <t>total CI</t>
    <phoneticPr fontId="22" type="noConversion"/>
  </si>
  <si>
    <r>
      <t>m</t>
    </r>
    <r>
      <rPr>
        <sz val="11"/>
        <color indexed="8"/>
        <rFont val="宋体"/>
        <family val="3"/>
        <charset val="134"/>
      </rPr>
      <t>icro level car</t>
    </r>
    <phoneticPr fontId="9" type="noConversion"/>
  </si>
  <si>
    <r>
      <t>fuel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  <scheme val="minor"/>
      </rPr>
      <t>efficiency</t>
    </r>
    <phoneticPr fontId="9" type="noConversion"/>
  </si>
  <si>
    <t>-</t>
    <phoneticPr fontId="9" type="noConversion"/>
  </si>
  <si>
    <r>
      <t>s</t>
    </r>
    <r>
      <rPr>
        <sz val="11"/>
        <color indexed="8"/>
        <rFont val="宋体"/>
        <family val="3"/>
        <charset val="134"/>
      </rPr>
      <t>mall level car</t>
    </r>
    <phoneticPr fontId="9" type="noConversion"/>
  </si>
  <si>
    <t>diesel vehicle</t>
    <phoneticPr fontId="9" type="noConversion"/>
  </si>
  <si>
    <t>CTL vehicle</t>
    <phoneticPr fontId="9" type="noConversion"/>
  </si>
  <si>
    <t>CTL+CCS (2)</t>
    <phoneticPr fontId="22" type="noConversion"/>
  </si>
  <si>
    <t>CTL(2)</t>
    <phoneticPr fontId="22" type="noConversion"/>
  </si>
  <si>
    <t>SNG (2)</t>
    <phoneticPr fontId="22" type="noConversion"/>
  </si>
  <si>
    <t>SNG+CCS (2)</t>
    <phoneticPr fontId="22" type="noConversion"/>
  </si>
  <si>
    <t>CNG</t>
    <phoneticPr fontId="22" type="noConversion"/>
  </si>
  <si>
    <t>SNG vehicle</t>
    <phoneticPr fontId="9" type="noConversion"/>
  </si>
  <si>
    <r>
      <t>f</t>
    </r>
    <r>
      <rPr>
        <sz val="11"/>
        <color indexed="8"/>
        <rFont val="宋体"/>
        <family val="3"/>
        <charset val="134"/>
      </rPr>
      <t>uel</t>
    </r>
    <phoneticPr fontId="22" type="noConversion"/>
  </si>
  <si>
    <r>
      <t>p</t>
    </r>
    <r>
      <rPr>
        <sz val="11"/>
        <color indexed="8"/>
        <rFont val="宋体"/>
        <family val="3"/>
        <charset val="134"/>
      </rPr>
      <t>ropulsion</t>
    </r>
    <phoneticPr fontId="22" type="noConversion"/>
  </si>
  <si>
    <t>MJ/MJ</t>
    <phoneticPr fontId="22" type="noConversion"/>
  </si>
  <si>
    <t>MJ/km</t>
    <phoneticPr fontId="22" type="noConversion"/>
  </si>
  <si>
    <t>MJ/km</t>
    <phoneticPr fontId="22" type="noConversion"/>
  </si>
  <si>
    <t>g CO2,e /km</t>
    <phoneticPr fontId="22" type="noConversion"/>
  </si>
  <si>
    <r>
      <t>M</t>
    </r>
    <r>
      <rPr>
        <sz val="11"/>
        <color indexed="8"/>
        <rFont val="宋体"/>
        <family val="3"/>
        <charset val="134"/>
      </rPr>
      <t>J/km</t>
    </r>
    <phoneticPr fontId="22" type="noConversion"/>
  </si>
  <si>
    <t>coal to power</t>
  </si>
  <si>
    <t>节能</t>
    <phoneticPr fontId="22" type="noConversion"/>
  </si>
  <si>
    <t>减碳</t>
    <phoneticPr fontId="22" type="noConversion"/>
  </si>
  <si>
    <r>
      <t>无C</t>
    </r>
    <r>
      <rPr>
        <sz val="11"/>
        <color indexed="8"/>
        <rFont val="宋体"/>
        <family val="3"/>
        <charset val="134"/>
      </rPr>
      <t>CS</t>
    </r>
    <phoneticPr fontId="22" type="noConversion"/>
  </si>
  <si>
    <r>
      <t>3</t>
    </r>
    <r>
      <rPr>
        <sz val="11"/>
        <color indexed="8"/>
        <rFont val="宋体"/>
        <family val="3"/>
        <charset val="134"/>
      </rPr>
      <t>8%-51%</t>
    </r>
    <phoneticPr fontId="22" type="noConversion"/>
  </si>
  <si>
    <r>
      <t>2</t>
    </r>
    <r>
      <rPr>
        <sz val="11"/>
        <color indexed="8"/>
        <rFont val="宋体"/>
        <family val="3"/>
        <charset val="134"/>
      </rPr>
      <t>5%-46%</t>
    </r>
    <phoneticPr fontId="22" type="noConversion"/>
  </si>
  <si>
    <r>
      <t>有C</t>
    </r>
    <r>
      <rPr>
        <sz val="11"/>
        <color indexed="8"/>
        <rFont val="宋体"/>
        <family val="3"/>
        <charset val="134"/>
      </rPr>
      <t>CS</t>
    </r>
    <phoneticPr fontId="22" type="noConversion"/>
  </si>
  <si>
    <r>
      <t>1</t>
    </r>
    <r>
      <rPr>
        <sz val="11"/>
        <color indexed="8"/>
        <rFont val="宋体"/>
        <family val="3"/>
        <charset val="134"/>
      </rPr>
      <t>6%-30%</t>
    </r>
    <phoneticPr fontId="22" type="noConversion"/>
  </si>
  <si>
    <r>
      <t>7</t>
    </r>
    <r>
      <rPr>
        <sz val="11"/>
        <color indexed="8"/>
        <rFont val="宋体"/>
        <family val="3"/>
        <charset val="134"/>
      </rPr>
      <t>7%-83%</t>
    </r>
    <phoneticPr fontId="22" type="noConversion"/>
  </si>
  <si>
    <t>增加能耗</t>
    <phoneticPr fontId="22" type="noConversion"/>
  </si>
  <si>
    <r>
      <t>7</t>
    </r>
    <r>
      <rPr>
        <sz val="11"/>
        <color indexed="8"/>
        <rFont val="宋体"/>
        <family val="3"/>
        <charset val="134"/>
      </rPr>
      <t>0-100%</t>
    </r>
    <phoneticPr fontId="22" type="noConversion"/>
  </si>
  <si>
    <t>增加碳排放</t>
    <phoneticPr fontId="22" type="noConversion"/>
  </si>
  <si>
    <t>85-125%</t>
    <phoneticPr fontId="22" type="noConversion"/>
  </si>
  <si>
    <r>
      <t>没有C</t>
    </r>
    <r>
      <rPr>
        <sz val="11"/>
        <color indexed="8"/>
        <rFont val="宋体"/>
        <family val="3"/>
        <charset val="134"/>
      </rPr>
      <t>CS</t>
    </r>
    <phoneticPr fontId="22" type="noConversion"/>
  </si>
  <si>
    <t>110-130%</t>
    <phoneticPr fontId="22" type="noConversion"/>
  </si>
  <si>
    <t>130-150%</t>
    <phoneticPr fontId="22" type="noConversion"/>
  </si>
  <si>
    <r>
      <t>有C</t>
    </r>
    <r>
      <rPr>
        <sz val="11"/>
        <color indexed="8"/>
        <rFont val="宋体"/>
        <family val="3"/>
        <charset val="134"/>
      </rPr>
      <t>CS</t>
    </r>
    <phoneticPr fontId="22" type="noConversion"/>
  </si>
  <si>
    <t>100-160%</t>
    <phoneticPr fontId="22" type="noConversion"/>
  </si>
  <si>
    <t>40-80%</t>
    <phoneticPr fontId="22" type="noConversion"/>
  </si>
  <si>
    <t>140-170%</t>
    <phoneticPr fontId="22" type="noConversion"/>
  </si>
  <si>
    <t>18-25%</t>
    <phoneticPr fontId="22" type="noConversion"/>
  </si>
  <si>
    <t>相对汽油车</t>
    <phoneticPr fontId="22" type="noConversion"/>
  </si>
  <si>
    <t>g CO2,e /MJ</t>
    <phoneticPr fontId="22" type="noConversion"/>
  </si>
  <si>
    <r>
      <t>f</t>
    </r>
    <r>
      <rPr>
        <sz val="11"/>
        <color indexed="8"/>
        <rFont val="宋体"/>
        <family val="3"/>
        <charset val="134"/>
      </rPr>
      <t>uel</t>
    </r>
    <phoneticPr fontId="22" type="noConversion"/>
  </si>
  <si>
    <r>
      <t>v</t>
    </r>
    <r>
      <rPr>
        <sz val="11"/>
        <color indexed="8"/>
        <rFont val="宋体"/>
        <family val="3"/>
        <charset val="134"/>
      </rPr>
      <t>ehicle</t>
    </r>
    <phoneticPr fontId="22" type="noConversion"/>
  </si>
  <si>
    <r>
      <t xml:space="preserve">total </t>
    </r>
    <r>
      <rPr>
        <sz val="11"/>
        <color indexed="8"/>
        <rFont val="宋体"/>
        <family val="3"/>
        <charset val="134"/>
      </rPr>
      <t>GHG</t>
    </r>
    <phoneticPr fontId="22" type="noConversion"/>
  </si>
  <si>
    <r>
      <t>e</t>
    </r>
    <r>
      <rPr>
        <sz val="11"/>
        <color indexed="8"/>
        <rFont val="宋体"/>
        <family val="3"/>
        <charset val="134"/>
      </rPr>
      <t>nergy-saving</t>
    </r>
    <phoneticPr fontId="22" type="noConversion"/>
  </si>
  <si>
    <r>
      <t>G</t>
    </r>
    <r>
      <rPr>
        <sz val="11"/>
        <color indexed="8"/>
        <rFont val="宋体"/>
        <family val="3"/>
        <charset val="134"/>
      </rPr>
      <t>HG reduction</t>
    </r>
    <phoneticPr fontId="22" type="noConversion"/>
  </si>
  <si>
    <r>
      <t>M</t>
    </r>
    <r>
      <rPr>
        <sz val="11"/>
        <color indexed="8"/>
        <rFont val="宋体"/>
        <family val="3"/>
        <charset val="134"/>
      </rPr>
      <t>J/km</t>
    </r>
    <phoneticPr fontId="22" type="noConversion"/>
  </si>
  <si>
    <r>
      <t>g</t>
    </r>
    <r>
      <rPr>
        <sz val="11"/>
        <color indexed="8"/>
        <rFont val="宋体"/>
        <family val="3"/>
        <charset val="134"/>
      </rPr>
      <t>/km</t>
    </r>
    <phoneticPr fontId="22" type="noConversion"/>
  </si>
  <si>
    <t>fuel</t>
  </si>
  <si>
    <t>vehicle</t>
  </si>
  <si>
    <t>total EF</t>
  </si>
  <si>
    <t>total GHG</t>
  </si>
  <si>
    <t>energy-saving</t>
  </si>
  <si>
    <t>GHG reduction</t>
  </si>
  <si>
    <t>MJ/km</t>
  </si>
  <si>
    <t>g/km</t>
  </si>
  <si>
    <t>CtL</t>
    <phoneticPr fontId="9" type="noConversion"/>
  </si>
  <si>
    <t xml:space="preserve"> </t>
    <phoneticPr fontId="22" type="noConversion"/>
  </si>
  <si>
    <t>Note</t>
    <phoneticPr fontId="24" type="noConversion"/>
  </si>
  <si>
    <t>water extraction</t>
    <phoneticPr fontId="24" type="noConversion"/>
  </si>
  <si>
    <t>water consumption</t>
    <phoneticPr fontId="24" type="noConversion"/>
  </si>
  <si>
    <t>coal extraction</t>
    <phoneticPr fontId="24" type="noConversion"/>
  </si>
  <si>
    <t>coal washing</t>
    <phoneticPr fontId="24" type="noConversion"/>
  </si>
  <si>
    <t>coal power plant</t>
    <phoneticPr fontId="24" type="noConversion"/>
  </si>
  <si>
    <t>subcritical</t>
  </si>
  <si>
    <t>ultracritical</t>
    <phoneticPr fontId="24" type="noConversion"/>
  </si>
  <si>
    <t>+CCS</t>
    <phoneticPr fontId="24" type="noConversion"/>
  </si>
  <si>
    <r>
      <t>I</t>
    </r>
    <r>
      <rPr>
        <sz val="11"/>
        <color indexed="8"/>
        <rFont val="宋体"/>
        <family val="3"/>
        <charset val="134"/>
      </rPr>
      <t>GCC</t>
    </r>
    <phoneticPr fontId="24" type="noConversion"/>
  </si>
  <si>
    <t>CtL</t>
    <phoneticPr fontId="24" type="noConversion"/>
  </si>
  <si>
    <t>SNG</t>
    <phoneticPr fontId="24" type="noConversion"/>
  </si>
  <si>
    <t>http://tech.163.com/11/0129/08/6RI6N8AQ000915BD.html</t>
  </si>
  <si>
    <t>polysilicon</t>
    <phoneticPr fontId="25" type="noConversion"/>
  </si>
  <si>
    <t>silicon</t>
    <phoneticPr fontId="25" type="noConversion"/>
  </si>
  <si>
    <t>kWh/kg</t>
    <phoneticPr fontId="25" type="noConversion"/>
  </si>
  <si>
    <t>[12] 胡润青．我国多晶硅并网光伏系统能量回收期的研究．太阳能．2009，1：9-14</t>
    <phoneticPr fontId="25" type="noConversion"/>
  </si>
  <si>
    <t>kg/kg</t>
    <phoneticPr fontId="25" type="noConversion"/>
  </si>
  <si>
    <r>
      <t>s</t>
    </r>
    <r>
      <rPr>
        <sz val="11"/>
        <color indexed="8"/>
        <rFont val="宋体"/>
        <family val="3"/>
        <charset val="134"/>
      </rPr>
      <t>lice</t>
    </r>
    <phoneticPr fontId="25" type="noConversion"/>
  </si>
  <si>
    <r>
      <t>e</t>
    </r>
    <r>
      <rPr>
        <sz val="11"/>
        <color indexed="8"/>
        <rFont val="宋体"/>
        <family val="3"/>
        <charset val="134"/>
      </rPr>
      <t>lectricity</t>
    </r>
    <phoneticPr fontId="25" type="noConversion"/>
  </si>
  <si>
    <r>
      <t>s</t>
    </r>
    <r>
      <rPr>
        <sz val="11"/>
        <color indexed="8"/>
        <rFont val="宋体"/>
        <family val="3"/>
        <charset val="134"/>
      </rPr>
      <t>team</t>
    </r>
    <phoneticPr fontId="25" type="noConversion"/>
  </si>
  <si>
    <t>kWh/kWp</t>
    <phoneticPr fontId="25" type="noConversion"/>
  </si>
  <si>
    <t>Solar cells</t>
    <phoneticPr fontId="25" type="noConversion"/>
  </si>
  <si>
    <t>Solar package</t>
    <phoneticPr fontId="25" type="noConversion"/>
  </si>
  <si>
    <t>auxillary system</t>
    <phoneticPr fontId="25" type="noConversion"/>
  </si>
  <si>
    <r>
      <t>c</t>
    </r>
    <r>
      <rPr>
        <sz val="11"/>
        <color indexed="8"/>
        <rFont val="宋体"/>
        <family val="3"/>
        <charset val="134"/>
      </rPr>
      <t>onversion factor</t>
    </r>
    <phoneticPr fontId="25" type="noConversion"/>
  </si>
  <si>
    <r>
      <t>f</t>
    </r>
    <r>
      <rPr>
        <sz val="11"/>
        <color indexed="8"/>
        <rFont val="宋体"/>
        <family val="3"/>
        <charset val="134"/>
      </rPr>
      <t>rom silicon to polysilicon</t>
    </r>
    <phoneticPr fontId="25" type="noConversion"/>
  </si>
  <si>
    <t>package rate</t>
    <phoneticPr fontId="25" type="noConversion"/>
  </si>
  <si>
    <r>
      <t>e</t>
    </r>
    <r>
      <rPr>
        <sz val="11"/>
        <color indexed="8"/>
        <rFont val="宋体"/>
        <family val="3"/>
        <charset val="134"/>
      </rPr>
      <t>nergy embodied in other material</t>
    </r>
    <phoneticPr fontId="25" type="noConversion"/>
  </si>
  <si>
    <r>
      <t>e</t>
    </r>
    <r>
      <rPr>
        <sz val="11"/>
        <color indexed="8"/>
        <rFont val="宋体"/>
        <family val="3"/>
        <charset val="134"/>
      </rPr>
      <t>lectricity</t>
    </r>
    <phoneticPr fontId="25" type="noConversion"/>
  </si>
  <si>
    <t>Transportation</t>
    <phoneticPr fontId="25" type="noConversion"/>
  </si>
  <si>
    <r>
      <t>d</t>
    </r>
    <r>
      <rPr>
        <sz val="11"/>
        <color indexed="8"/>
        <rFont val="宋体"/>
        <family val="3"/>
        <charset val="134"/>
      </rPr>
      <t>iesel</t>
    </r>
    <phoneticPr fontId="25" type="noConversion"/>
  </si>
  <si>
    <r>
      <t>k</t>
    </r>
    <r>
      <rPr>
        <sz val="11"/>
        <color indexed="8"/>
        <rFont val="宋体"/>
        <family val="3"/>
        <charset val="134"/>
      </rPr>
      <t>m</t>
    </r>
    <phoneticPr fontId="25" type="noConversion"/>
  </si>
  <si>
    <t>kg/ton.km</t>
    <phoneticPr fontId="25" type="noConversion"/>
  </si>
  <si>
    <t>kg/kWp</t>
    <phoneticPr fontId="25" type="noConversion"/>
  </si>
  <si>
    <r>
      <t>k</t>
    </r>
    <r>
      <rPr>
        <sz val="11"/>
        <color indexed="8"/>
        <rFont val="宋体"/>
        <family val="3"/>
        <charset val="134"/>
      </rPr>
      <t>g/kWP</t>
    </r>
    <phoneticPr fontId="25" type="noConversion"/>
  </si>
  <si>
    <t>生产环节</t>
  </si>
  <si>
    <t>能耗</t>
  </si>
  <si>
    <r>
      <t>能耗（</t>
    </r>
    <r>
      <rPr>
        <sz val="11"/>
        <rFont val="Times New Roman"/>
        <family val="1"/>
      </rPr>
      <t>kWh/kWp</t>
    </r>
    <r>
      <rPr>
        <sz val="11"/>
        <rFont val="宋体"/>
        <family val="3"/>
        <charset val="134"/>
      </rPr>
      <t>）</t>
    </r>
  </si>
  <si>
    <t>比例</t>
  </si>
  <si>
    <t>工业硅</t>
  </si>
  <si>
    <t>13 kWh/kg</t>
  </si>
  <si>
    <t>太阳能级多晶硅</t>
  </si>
  <si>
    <t>283 kWh/kg</t>
  </si>
  <si>
    <t>多晶硅铸锭与切片</t>
  </si>
  <si>
    <t>625 kWh/kWp</t>
  </si>
  <si>
    <t>光伏电池片</t>
  </si>
  <si>
    <t>200 kWh/kWp</t>
  </si>
  <si>
    <t>光伏组件</t>
  </si>
  <si>
    <t>150 kWh/kWp</t>
  </si>
  <si>
    <t>光伏系统</t>
  </si>
  <si>
    <r>
      <t>生产能耗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合计</t>
    </r>
    <r>
      <rPr>
        <sz val="11"/>
        <rFont val="Times New Roman"/>
        <family val="1"/>
      </rPr>
      <t>)</t>
    </r>
  </si>
  <si>
    <t>N/A</t>
  </si>
  <si>
    <t>625 kWh/kWp</t>
    <phoneticPr fontId="26" type="noConversion"/>
  </si>
  <si>
    <t>http://www.ahxy.com.cn/news/list.asp?news_id=607</t>
  </si>
  <si>
    <r>
      <t>k</t>
    </r>
    <r>
      <rPr>
        <sz val="11"/>
        <color indexed="8"/>
        <rFont val="宋体"/>
        <family val="3"/>
        <charset val="134"/>
      </rPr>
      <t>g/kg</t>
    </r>
    <phoneticPr fontId="25" type="noConversion"/>
  </si>
  <si>
    <t>from polysilicon to slice</t>
    <phoneticPr fontId="25" type="noConversion"/>
  </si>
  <si>
    <t>from sice to system</t>
    <phoneticPr fontId="25" type="noConversion"/>
  </si>
  <si>
    <r>
      <t>k</t>
    </r>
    <r>
      <rPr>
        <sz val="11"/>
        <color indexed="8"/>
        <rFont val="宋体"/>
        <family val="3"/>
        <charset val="134"/>
      </rPr>
      <t>Wp/kg</t>
    </r>
    <phoneticPr fontId="25" type="noConversion"/>
  </si>
  <si>
    <r>
      <t>k</t>
    </r>
    <r>
      <rPr>
        <sz val="11"/>
        <color indexed="8"/>
        <rFont val="宋体"/>
        <family val="3"/>
        <charset val="134"/>
      </rPr>
      <t>Wh/kWp</t>
    </r>
    <phoneticPr fontId="25" type="noConversion"/>
  </si>
  <si>
    <r>
      <t>G</t>
    </r>
    <r>
      <rPr>
        <sz val="11"/>
        <color indexed="8"/>
        <rFont val="宋体"/>
        <family val="3"/>
        <charset val="134"/>
      </rPr>
      <t>HG系数</t>
    </r>
    <phoneticPr fontId="25" type="noConversion"/>
  </si>
  <si>
    <r>
      <t>g</t>
    </r>
    <r>
      <rPr>
        <sz val="11"/>
        <color indexed="8"/>
        <rFont val="宋体"/>
        <family val="3"/>
        <charset val="134"/>
      </rPr>
      <t>/kWh</t>
    </r>
    <phoneticPr fontId="25" type="noConversion"/>
  </si>
  <si>
    <r>
      <t>t</t>
    </r>
    <r>
      <rPr>
        <sz val="11"/>
        <color indexed="8"/>
        <rFont val="宋体"/>
        <family val="3"/>
        <charset val="134"/>
      </rPr>
      <t>otal</t>
    </r>
    <phoneticPr fontId="25" type="noConversion"/>
  </si>
  <si>
    <t>GHG(kg/kWp)</t>
    <phoneticPr fontId="25" type="noConversion"/>
  </si>
  <si>
    <r>
      <t>a</t>
    </r>
    <r>
      <rPr>
        <sz val="11"/>
        <color indexed="8"/>
        <rFont val="宋体"/>
        <family val="3"/>
        <charset val="134"/>
      </rPr>
      <t>nnual hours</t>
    </r>
    <phoneticPr fontId="25" type="noConversion"/>
  </si>
  <si>
    <r>
      <t>b</t>
    </r>
    <r>
      <rPr>
        <sz val="11"/>
        <color indexed="8"/>
        <rFont val="宋体"/>
        <family val="3"/>
        <charset val="134"/>
      </rPr>
      <t>est</t>
    </r>
    <phoneticPr fontId="25" type="noConversion"/>
  </si>
  <si>
    <r>
      <t>w</t>
    </r>
    <r>
      <rPr>
        <sz val="11"/>
        <color indexed="8"/>
        <rFont val="宋体"/>
        <family val="3"/>
        <charset val="134"/>
      </rPr>
      <t>orst</t>
    </r>
    <phoneticPr fontId="25" type="noConversion"/>
  </si>
  <si>
    <t>average</t>
    <phoneticPr fontId="25" type="noConversion"/>
  </si>
  <si>
    <r>
      <t>u</t>
    </r>
    <r>
      <rPr>
        <sz val="11"/>
        <color indexed="8"/>
        <rFont val="宋体"/>
        <family val="3"/>
        <charset val="134"/>
      </rPr>
      <t>se rate for building</t>
    </r>
    <phoneticPr fontId="25" type="noConversion"/>
  </si>
  <si>
    <t>use rate for powerplant</t>
    <phoneticPr fontId="25" type="noConversion"/>
  </si>
  <si>
    <r>
      <t>p</t>
    </r>
    <r>
      <rPr>
        <sz val="11"/>
        <color indexed="8"/>
        <rFont val="宋体"/>
        <family val="3"/>
        <charset val="134"/>
      </rPr>
      <t>ayback time</t>
    </r>
    <phoneticPr fontId="25" type="noConversion"/>
  </si>
  <si>
    <t>化石能耗扩大系数</t>
    <phoneticPr fontId="25" type="noConversion"/>
  </si>
  <si>
    <t>coal</t>
    <phoneticPr fontId="25" type="noConversion"/>
  </si>
  <si>
    <t>NG</t>
    <phoneticPr fontId="25" type="noConversion"/>
  </si>
  <si>
    <t>petrolum</t>
    <phoneticPr fontId="25" type="noConversion"/>
  </si>
  <si>
    <t>生命期电量MJ</t>
    <phoneticPr fontId="25" type="noConversion"/>
  </si>
  <si>
    <t>FE(MJ/kWp)</t>
    <phoneticPr fontId="25" type="noConversion"/>
  </si>
  <si>
    <t>直接能耗回收期</t>
    <phoneticPr fontId="25" type="noConversion"/>
  </si>
  <si>
    <t>全生命周期能耗回收期</t>
    <phoneticPr fontId="25" type="noConversion"/>
  </si>
  <si>
    <t>碳排放回收期</t>
    <phoneticPr fontId="25" type="noConversion"/>
  </si>
  <si>
    <t>碳强度</t>
  </si>
  <si>
    <r>
      <t>其中C</t>
    </r>
    <r>
      <rPr>
        <sz val="11"/>
        <color indexed="8"/>
        <rFont val="宋体"/>
        <family val="3"/>
        <charset val="134"/>
      </rPr>
      <t>O2</t>
    </r>
    <phoneticPr fontId="25" type="noConversion"/>
  </si>
  <si>
    <t>碳强度(g/MJ)</t>
    <phoneticPr fontId="25" type="noConversion"/>
  </si>
  <si>
    <r>
      <t>t</t>
    </r>
    <r>
      <rPr>
        <sz val="11"/>
        <color indexed="8"/>
        <rFont val="宋体"/>
        <family val="3"/>
        <charset val="134"/>
      </rPr>
      <t>on/GJ</t>
    </r>
    <phoneticPr fontId="24" type="noConversion"/>
  </si>
  <si>
    <r>
      <t>c</t>
    </r>
    <r>
      <rPr>
        <sz val="11"/>
        <color indexed="8"/>
        <rFont val="宋体"/>
        <family val="3"/>
        <charset val="134"/>
      </rPr>
      <t>oal</t>
    </r>
    <phoneticPr fontId="24" type="noConversion"/>
  </si>
  <si>
    <t>coal</t>
    <phoneticPr fontId="24" type="noConversion"/>
  </si>
  <si>
    <r>
      <t>e</t>
    </r>
    <r>
      <rPr>
        <sz val="11"/>
        <color indexed="8"/>
        <rFont val="宋体"/>
        <family val="3"/>
        <charset val="134"/>
      </rPr>
      <t>lectricity</t>
    </r>
    <phoneticPr fontId="24" type="noConversion"/>
  </si>
  <si>
    <t>efficiency（%）</t>
    <phoneticPr fontId="24" type="noConversion"/>
  </si>
  <si>
    <r>
      <t>c</t>
    </r>
    <r>
      <rPr>
        <sz val="11"/>
        <color indexed="8"/>
        <rFont val="宋体"/>
        <family val="3"/>
        <charset val="134"/>
      </rPr>
      <t>oal extraction</t>
    </r>
    <phoneticPr fontId="24" type="noConversion"/>
  </si>
  <si>
    <r>
      <t>c</t>
    </r>
    <r>
      <rPr>
        <sz val="11"/>
        <color indexed="8"/>
        <rFont val="宋体"/>
        <family val="3"/>
        <charset val="134"/>
      </rPr>
      <t>oal washing</t>
    </r>
    <phoneticPr fontId="24" type="noConversion"/>
  </si>
  <si>
    <t>powerplant</t>
    <phoneticPr fontId="24" type="noConversion"/>
  </si>
  <si>
    <t>high(2020)</t>
    <phoneticPr fontId="24" type="noConversion"/>
  </si>
  <si>
    <t>其中电池</t>
    <phoneticPr fontId="9" type="noConversion"/>
  </si>
  <si>
    <t>车辆及电池周期</t>
    <phoneticPr fontId="9" type="noConversion"/>
  </si>
  <si>
    <r>
      <t>M</t>
    </r>
    <r>
      <rPr>
        <sz val="11"/>
        <color indexed="8"/>
        <rFont val="宋体"/>
        <family val="3"/>
        <charset val="134"/>
      </rPr>
      <t>J/km</t>
    </r>
    <phoneticPr fontId="9" type="noConversion"/>
  </si>
  <si>
    <t>g/km</t>
    <phoneticPr fontId="9" type="noConversion"/>
  </si>
  <si>
    <r>
      <t>G</t>
    </r>
    <r>
      <rPr>
        <sz val="11"/>
        <color indexed="8"/>
        <rFont val="宋体"/>
        <family val="3"/>
        <charset val="134"/>
      </rPr>
      <t>HG</t>
    </r>
    <phoneticPr fontId="9" type="noConversion"/>
  </si>
  <si>
    <r>
      <t>C</t>
    </r>
    <r>
      <rPr>
        <sz val="11"/>
        <color indexed="8"/>
        <rFont val="宋体"/>
        <family val="3"/>
        <charset val="134"/>
      </rPr>
      <t>oal</t>
    </r>
    <phoneticPr fontId="9" type="noConversion"/>
  </si>
  <si>
    <r>
      <t>N</t>
    </r>
    <r>
      <rPr>
        <sz val="11"/>
        <color indexed="8"/>
        <rFont val="宋体"/>
        <family val="3"/>
        <charset val="134"/>
      </rPr>
      <t>G</t>
    </r>
    <phoneticPr fontId="9" type="noConversion"/>
  </si>
  <si>
    <r>
      <t>P</t>
    </r>
    <r>
      <rPr>
        <sz val="11"/>
        <color indexed="8"/>
        <rFont val="宋体"/>
        <family val="3"/>
        <charset val="134"/>
      </rPr>
      <t>etroluem</t>
    </r>
    <phoneticPr fontId="9" type="noConversion"/>
  </si>
  <si>
    <t>SC</t>
    <phoneticPr fontId="9" type="noConversion"/>
  </si>
  <si>
    <r>
      <t>S</t>
    </r>
    <r>
      <rPr>
        <sz val="11"/>
        <color indexed="8"/>
        <rFont val="宋体"/>
        <family val="3"/>
        <charset val="134"/>
      </rPr>
      <t>C+CCS</t>
    </r>
    <phoneticPr fontId="9" type="noConversion"/>
  </si>
  <si>
    <t>SC+CCS</t>
    <phoneticPr fontId="9" type="noConversion"/>
  </si>
  <si>
    <r>
      <t>t</t>
    </r>
    <r>
      <rPr>
        <sz val="11"/>
        <color indexed="8"/>
        <rFont val="宋体"/>
        <family val="3"/>
        <charset val="134"/>
      </rPr>
      <t>ransportation</t>
    </r>
    <phoneticPr fontId="26" type="noConversion"/>
  </si>
  <si>
    <r>
      <t>s</t>
    </r>
    <r>
      <rPr>
        <sz val="11"/>
        <color indexed="8"/>
        <rFont val="宋体"/>
        <family val="3"/>
        <charset val="134"/>
      </rPr>
      <t>torage</t>
    </r>
    <phoneticPr fontId="26" type="noConversion"/>
  </si>
  <si>
    <t>Btu/吨公里</t>
    <phoneticPr fontId="26" type="noConversion"/>
  </si>
  <si>
    <r>
      <t>M</t>
    </r>
    <r>
      <rPr>
        <sz val="11"/>
        <color indexed="8"/>
        <rFont val="宋体"/>
        <family val="3"/>
        <charset val="134"/>
      </rPr>
      <t>J/吨公里</t>
    </r>
    <phoneticPr fontId="26" type="noConversion"/>
  </si>
  <si>
    <r>
      <t>G</t>
    </r>
    <r>
      <rPr>
        <sz val="11"/>
        <color indexed="8"/>
        <rFont val="宋体"/>
        <family val="3"/>
        <charset val="134"/>
      </rPr>
      <t>REET</t>
    </r>
    <phoneticPr fontId="26" type="noConversion"/>
  </si>
  <si>
    <r>
      <t>d</t>
    </r>
    <r>
      <rPr>
        <sz val="11"/>
        <color indexed="8"/>
        <rFont val="宋体"/>
        <family val="3"/>
        <charset val="134"/>
      </rPr>
      <t>istance</t>
    </r>
    <phoneticPr fontId="26" type="noConversion"/>
  </si>
  <si>
    <r>
      <t>k</t>
    </r>
    <r>
      <rPr>
        <sz val="11"/>
        <color indexed="8"/>
        <rFont val="宋体"/>
        <family val="3"/>
        <charset val="134"/>
      </rPr>
      <t>m</t>
    </r>
    <phoneticPr fontId="26" type="noConversion"/>
  </si>
  <si>
    <t>MJ/ton</t>
    <phoneticPr fontId="26" type="noConversion"/>
  </si>
  <si>
    <t>Coal</t>
    <phoneticPr fontId="26" type="noConversion"/>
  </si>
  <si>
    <t>NG</t>
    <phoneticPr fontId="26" type="noConversion"/>
  </si>
  <si>
    <t>Petroluem</t>
    <phoneticPr fontId="26" type="noConversion"/>
  </si>
  <si>
    <t>g/ton</t>
    <phoneticPr fontId="26" type="noConversion"/>
  </si>
  <si>
    <t>CO2</t>
    <phoneticPr fontId="26" type="noConversion"/>
  </si>
  <si>
    <t>CH4</t>
    <phoneticPr fontId="26" type="noConversion"/>
  </si>
  <si>
    <t>N2O</t>
    <phoneticPr fontId="26" type="noConversion"/>
  </si>
  <si>
    <t>mg/ton</t>
    <phoneticPr fontId="26" type="noConversion"/>
  </si>
  <si>
    <r>
      <rPr>
        <sz val="11"/>
        <color indexed="8"/>
        <rFont val="宋体"/>
        <family val="3"/>
        <charset val="134"/>
      </rPr>
      <t xml:space="preserve">USC </t>
    </r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indexed="8"/>
        <rFont val="宋体"/>
        <family val="3"/>
        <charset val="134"/>
      </rPr>
      <t>oal to power</t>
    </r>
    <phoneticPr fontId="22" type="noConversion"/>
  </si>
  <si>
    <r>
      <t>U</t>
    </r>
    <r>
      <rPr>
        <sz val="11"/>
        <color indexed="8"/>
        <rFont val="宋体"/>
        <family val="3"/>
        <charset val="134"/>
      </rPr>
      <t>SC</t>
    </r>
    <r>
      <rPr>
        <sz val="11"/>
        <color theme="1"/>
        <rFont val="宋体"/>
        <family val="3"/>
        <charset val="134"/>
        <scheme val="minor"/>
      </rPr>
      <t>+CCS</t>
    </r>
    <phoneticPr fontId="22" type="noConversion"/>
  </si>
  <si>
    <r>
      <t>S</t>
    </r>
    <r>
      <rPr>
        <sz val="11"/>
        <color indexed="8"/>
        <rFont val="宋体"/>
        <family val="3"/>
        <charset val="134"/>
      </rPr>
      <t>C coal to power</t>
    </r>
    <phoneticPr fontId="22" type="noConversion"/>
  </si>
  <si>
    <r>
      <t>S</t>
    </r>
    <r>
      <rPr>
        <sz val="11"/>
        <color indexed="8"/>
        <rFont val="宋体"/>
        <family val="3"/>
        <charset val="134"/>
      </rPr>
      <t>C+CCS</t>
    </r>
    <phoneticPr fontId="22" type="noConversion"/>
  </si>
  <si>
    <r>
      <t>G</t>
    </r>
    <r>
      <rPr>
        <sz val="11"/>
        <color indexed="8"/>
        <rFont val="宋体"/>
        <family val="3"/>
        <charset val="134"/>
      </rPr>
      <t>rid electricity</t>
    </r>
    <phoneticPr fontId="22" type="noConversion"/>
  </si>
  <si>
    <r>
      <t>N</t>
    </r>
    <r>
      <rPr>
        <sz val="11"/>
        <color indexed="8"/>
        <rFont val="宋体"/>
        <family val="3"/>
        <charset val="134"/>
      </rPr>
      <t>orth China</t>
    </r>
    <phoneticPr fontId="22" type="noConversion"/>
  </si>
  <si>
    <r>
      <t>S</t>
    </r>
    <r>
      <rPr>
        <sz val="11"/>
        <color indexed="8"/>
        <rFont val="宋体"/>
        <family val="3"/>
        <charset val="134"/>
      </rPr>
      <t>outh China</t>
    </r>
    <phoneticPr fontId="22" type="noConversion"/>
  </si>
  <si>
    <t>原料类型</t>
  </si>
  <si>
    <t>煤电</t>
  </si>
  <si>
    <t>油电</t>
  </si>
  <si>
    <t>气电</t>
  </si>
  <si>
    <t>核电</t>
  </si>
  <si>
    <t>生物质电</t>
  </si>
  <si>
    <t>其他电</t>
  </si>
  <si>
    <t>网电</t>
  </si>
  <si>
    <t>能源强度</t>
  </si>
  <si>
    <t>其中：煤炭</t>
  </si>
  <si>
    <r>
      <t xml:space="preserve">     </t>
    </r>
    <r>
      <rPr>
        <sz val="11"/>
        <color indexed="8"/>
        <rFont val="宋体"/>
        <family val="3"/>
        <charset val="134"/>
      </rPr>
      <t>天然气</t>
    </r>
  </si>
  <si>
    <r>
      <t xml:space="preserve">     </t>
    </r>
    <r>
      <rPr>
        <sz val="11"/>
        <color indexed="8"/>
        <rFont val="宋体"/>
        <family val="3"/>
        <charset val="134"/>
      </rPr>
      <t>石油</t>
    </r>
  </si>
  <si>
    <r>
      <t>gCO</t>
    </r>
    <r>
      <rPr>
        <vertAlign val="subscript"/>
        <sz val="11"/>
        <color indexed="8"/>
        <rFont val="Times New Roman"/>
        <family val="1"/>
      </rPr>
      <t>2,e</t>
    </r>
    <r>
      <rPr>
        <sz val="11"/>
        <color indexed="8"/>
        <rFont val="Times New Roman"/>
        <family val="1"/>
      </rPr>
      <t xml:space="preserve"> /MJ</t>
    </r>
  </si>
  <si>
    <t>华北电网</t>
  </si>
  <si>
    <t>华北电网</t>
    <phoneticPr fontId="26" type="noConversion"/>
  </si>
  <si>
    <t>华南电网</t>
  </si>
  <si>
    <t>oil</t>
    <phoneticPr fontId="25" type="noConversion"/>
  </si>
  <si>
    <r>
      <t>P</t>
    </r>
    <r>
      <rPr>
        <sz val="11"/>
        <color indexed="8"/>
        <rFont val="宋体"/>
        <family val="3"/>
        <charset val="134"/>
      </rPr>
      <t xml:space="preserve">V power(Best) </t>
    </r>
    <phoneticPr fontId="22" type="noConversion"/>
  </si>
  <si>
    <t xml:space="preserve">PV power(Ave) </t>
    <phoneticPr fontId="22" type="noConversion"/>
  </si>
  <si>
    <t>PV power(Worst)</t>
    <phoneticPr fontId="22" type="noConversion"/>
  </si>
  <si>
    <t>MJ/kWp</t>
    <phoneticPr fontId="25" type="noConversion"/>
  </si>
  <si>
    <t>BEV</t>
    <phoneticPr fontId="22" type="noConversion"/>
  </si>
  <si>
    <r>
      <t>w</t>
    </r>
    <r>
      <rPr>
        <sz val="11"/>
        <color indexed="8"/>
        <rFont val="宋体"/>
        <family val="3"/>
        <charset val="134"/>
      </rPr>
      <t>orst</t>
    </r>
    <phoneticPr fontId="22" type="noConversion"/>
  </si>
  <si>
    <r>
      <t>b</t>
    </r>
    <r>
      <rPr>
        <sz val="11"/>
        <color indexed="8"/>
        <rFont val="宋体"/>
        <family val="3"/>
        <charset val="134"/>
      </rPr>
      <t>est</t>
    </r>
    <phoneticPr fontId="22" type="noConversion"/>
  </si>
  <si>
    <t>SNG+CCS</t>
    <phoneticPr fontId="9" type="noConversion"/>
  </si>
  <si>
    <t>SNG(2)+CCS</t>
    <phoneticPr fontId="9" type="noConversion"/>
  </si>
  <si>
    <t>GHG占比</t>
    <phoneticPr fontId="9" type="noConversion"/>
  </si>
  <si>
    <r>
      <t>E</t>
    </r>
    <r>
      <rPr>
        <sz val="11"/>
        <color indexed="8"/>
        <rFont val="宋体"/>
        <family val="3"/>
        <charset val="134"/>
      </rPr>
      <t>C占比</t>
    </r>
    <phoneticPr fontId="9" type="noConversion"/>
  </si>
  <si>
    <r>
      <t>C</t>
    </r>
    <r>
      <rPr>
        <sz val="11"/>
        <color indexed="8"/>
        <rFont val="宋体"/>
        <family val="3"/>
        <charset val="134"/>
      </rPr>
      <t>TL</t>
    </r>
    <r>
      <rPr>
        <sz val="11"/>
        <color theme="1"/>
        <rFont val="宋体"/>
        <family val="3"/>
        <charset val="134"/>
        <scheme val="minor"/>
      </rPr>
      <t>+CCS</t>
    </r>
    <phoneticPr fontId="9" type="noConversion"/>
  </si>
  <si>
    <r>
      <t>C3</t>
    </r>
    <r>
      <rPr>
        <sz val="11"/>
        <color indexed="8"/>
        <rFont val="宋体"/>
        <family val="3"/>
        <charset val="134"/>
      </rPr>
      <t>(高效)</t>
    </r>
    <phoneticPr fontId="9" type="noConversion"/>
  </si>
  <si>
    <r>
      <rPr>
        <sz val="10.5"/>
        <color indexed="8"/>
        <rFont val="宋体"/>
        <family val="3"/>
        <charset val="134"/>
      </rPr>
      <t>r</t>
    </r>
    <r>
      <rPr>
        <sz val="10.5"/>
        <color indexed="8"/>
        <rFont val="宋体"/>
        <family val="3"/>
        <charset val="134"/>
      </rPr>
      <t>elative to gasoline car</t>
    </r>
    <phoneticPr fontId="22" type="noConversion"/>
  </si>
  <si>
    <r>
      <t>e</t>
    </r>
    <r>
      <rPr>
        <sz val="11"/>
        <color indexed="8"/>
        <rFont val="宋体"/>
        <family val="3"/>
        <charset val="134"/>
      </rPr>
      <t>nergy saving</t>
    </r>
    <phoneticPr fontId="22" type="noConversion"/>
  </si>
  <si>
    <r>
      <t>G</t>
    </r>
    <r>
      <rPr>
        <sz val="11"/>
        <color indexed="8"/>
        <rFont val="宋体"/>
        <family val="3"/>
        <charset val="134"/>
      </rPr>
      <t>HG reduction</t>
    </r>
    <phoneticPr fontId="22" type="noConversion"/>
  </si>
  <si>
    <r>
      <t>S</t>
    </r>
    <r>
      <rPr>
        <sz val="11"/>
        <color indexed="8"/>
        <rFont val="宋体"/>
        <family val="3"/>
        <charset val="134"/>
      </rPr>
      <t>ilicon production</t>
    </r>
    <phoneticPr fontId="25" type="noConversion"/>
  </si>
  <si>
    <r>
      <t>P</t>
    </r>
    <r>
      <rPr>
        <sz val="11"/>
        <color indexed="8"/>
        <rFont val="宋体"/>
        <family val="3"/>
        <charset val="134"/>
      </rPr>
      <t>olysilicon production</t>
    </r>
    <phoneticPr fontId="25" type="noConversion"/>
  </si>
  <si>
    <r>
      <t>C</t>
    </r>
    <r>
      <rPr>
        <sz val="11"/>
        <color indexed="8"/>
        <rFont val="宋体"/>
        <family val="3"/>
        <charset val="134"/>
      </rPr>
      <t>ells production</t>
    </r>
    <phoneticPr fontId="25" type="noConversion"/>
  </si>
  <si>
    <t>Package</t>
    <phoneticPr fontId="25" type="noConversion"/>
  </si>
  <si>
    <t>Auxililary system production</t>
    <phoneticPr fontId="25" type="noConversion"/>
  </si>
  <si>
    <t>Material used in process</t>
    <phoneticPr fontId="25" type="noConversion"/>
  </si>
  <si>
    <t>System transportation</t>
    <phoneticPr fontId="25" type="noConversion"/>
  </si>
  <si>
    <r>
      <t>s</t>
    </r>
    <r>
      <rPr>
        <sz val="11"/>
        <color indexed="8"/>
        <rFont val="宋体"/>
        <family val="3"/>
        <charset val="134"/>
      </rPr>
      <t>tage</t>
    </r>
    <phoneticPr fontId="25" type="noConversion"/>
  </si>
  <si>
    <t>30-year power generation(MJ/KWp)</t>
    <phoneticPr fontId="25" type="noConversion"/>
  </si>
  <si>
    <t>payback time for GHG emission (yr)</t>
    <phoneticPr fontId="25" type="noConversion"/>
  </si>
  <si>
    <t>payback time for direct energy use (yr)</t>
    <phoneticPr fontId="25" type="noConversion"/>
  </si>
  <si>
    <t>payback time for fossil energy use (yr)</t>
    <phoneticPr fontId="25" type="noConversion"/>
  </si>
  <si>
    <r>
      <t>r</t>
    </r>
    <r>
      <rPr>
        <sz val="11"/>
        <color indexed="8"/>
        <rFont val="宋体"/>
        <family val="3"/>
        <charset val="134"/>
      </rPr>
      <t>atio for CO2 transportation</t>
    </r>
    <phoneticPr fontId="22" type="noConversion"/>
  </si>
  <si>
    <r>
      <t>C</t>
    </r>
    <r>
      <rPr>
        <sz val="11"/>
        <color indexed="8"/>
        <rFont val="宋体"/>
        <family val="3"/>
        <charset val="134"/>
      </rPr>
      <t>TL+CCS</t>
    </r>
    <phoneticPr fontId="22" type="noConversion"/>
  </si>
  <si>
    <r>
      <t>f</t>
    </r>
    <r>
      <rPr>
        <sz val="11"/>
        <color indexed="8"/>
        <rFont val="宋体"/>
        <family val="3"/>
        <charset val="134"/>
      </rPr>
      <t>ossil energy use</t>
    </r>
    <phoneticPr fontId="22" type="noConversion"/>
  </si>
  <si>
    <r>
      <t>G</t>
    </r>
    <r>
      <rPr>
        <sz val="11"/>
        <color indexed="8"/>
        <rFont val="宋体"/>
        <family val="3"/>
        <charset val="134"/>
      </rPr>
      <t xml:space="preserve">HG emission </t>
    </r>
    <phoneticPr fontId="22" type="noConversion"/>
  </si>
  <si>
    <r>
      <t>1</t>
    </r>
    <r>
      <rPr>
        <sz val="11"/>
        <color indexed="8"/>
        <rFont val="宋体"/>
        <family val="3"/>
        <charset val="134"/>
      </rPr>
      <t>0kw，一生换一次</t>
    </r>
    <phoneticPr fontId="9" type="noConversion"/>
  </si>
  <si>
    <r>
      <t>2</t>
    </r>
    <r>
      <rPr>
        <sz val="11"/>
        <color indexed="8"/>
        <rFont val="宋体"/>
        <family val="3"/>
        <charset val="134"/>
      </rPr>
      <t>0kw，一生换一次</t>
    </r>
    <phoneticPr fontId="9" type="noConversion"/>
  </si>
  <si>
    <t>higher level</t>
    <phoneticPr fontId="24" type="noConversion"/>
  </si>
  <si>
    <t>IGCC(Best)</t>
    <phoneticPr fontId="24" type="noConversion"/>
  </si>
  <si>
    <t>+CCS</t>
    <phoneticPr fontId="24" type="noConversion"/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</si>
  <si>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sed by shell</t>
    </r>
    <phoneticPr fontId="24" type="noConversion"/>
  </si>
  <si>
    <r>
      <t>c</t>
    </r>
    <r>
      <rPr>
        <sz val="11"/>
        <color indexed="8"/>
        <rFont val="宋体"/>
        <family val="3"/>
        <charset val="134"/>
      </rPr>
      <t>oal extraction</t>
    </r>
    <phoneticPr fontId="24" type="noConversion"/>
  </si>
  <si>
    <r>
      <t>c</t>
    </r>
    <r>
      <rPr>
        <sz val="11"/>
        <color indexed="8"/>
        <rFont val="宋体"/>
        <family val="3"/>
        <charset val="134"/>
      </rPr>
      <t>oal washing</t>
    </r>
    <phoneticPr fontId="24" type="noConversion"/>
  </si>
  <si>
    <r>
      <t>l</t>
    </r>
    <r>
      <rPr>
        <sz val="11"/>
        <color indexed="8"/>
        <rFont val="宋体"/>
        <family val="3"/>
        <charset val="134"/>
      </rPr>
      <t>ower level</t>
    </r>
    <phoneticPr fontId="24" type="noConversion"/>
  </si>
  <si>
    <t>合计</t>
    <phoneticPr fontId="24" type="noConversion"/>
  </si>
  <si>
    <t>China energy LCA Model (TLCAM)</t>
    <phoneticPr fontId="33" type="noConversion"/>
  </si>
  <si>
    <r>
      <t>E</t>
    </r>
    <r>
      <rPr>
        <sz val="11"/>
        <color indexed="8"/>
        <rFont val="宋体"/>
        <family val="3"/>
        <charset val="134"/>
      </rPr>
      <t>mail: ouxm@mail.tsinghua.edu.cn</t>
    </r>
    <phoneticPr fontId="33" type="noConversion"/>
  </si>
  <si>
    <t>子阶段</t>
  </si>
  <si>
    <t>项目</t>
  </si>
  <si>
    <t>CO2，direct</t>
    <phoneticPr fontId="33" type="noConversion"/>
  </si>
  <si>
    <t>终端能源</t>
  </si>
  <si>
    <t>原煤</t>
  </si>
  <si>
    <t>原始天然气</t>
  </si>
  <si>
    <t>原油</t>
  </si>
  <si>
    <t>EI</t>
    <phoneticPr fontId="33" type="noConversion"/>
  </si>
  <si>
    <t>单位</t>
  </si>
  <si>
    <r>
      <t>gCO</t>
    </r>
    <r>
      <rPr>
        <b/>
        <vertAlign val="subscript"/>
        <sz val="11"/>
        <color indexed="8"/>
        <rFont val="Times New Roman"/>
        <family val="1"/>
      </rPr>
      <t>2,e</t>
    </r>
    <r>
      <rPr>
        <b/>
        <sz val="11"/>
        <color indexed="8"/>
        <rFont val="Times New Roman"/>
        <family val="1"/>
      </rPr>
      <t>/MJ</t>
    </r>
  </si>
  <si>
    <t>精煤</t>
  </si>
  <si>
    <t>精制天然气</t>
  </si>
  <si>
    <t>柴油</t>
  </si>
  <si>
    <t>汽油</t>
  </si>
  <si>
    <t>燃料油</t>
  </si>
  <si>
    <t>电力</t>
  </si>
  <si>
    <t>其他发电</t>
  </si>
  <si>
    <t>煤炭强度</t>
    <phoneticPr fontId="33" type="noConversion"/>
  </si>
  <si>
    <t>天然气强度</t>
    <phoneticPr fontId="33" type="noConversion"/>
  </si>
  <si>
    <t>石油强度</t>
    <phoneticPr fontId="33" type="noConversion"/>
  </si>
  <si>
    <t>CO2,LC</t>
    <phoneticPr fontId="33" type="noConversion"/>
  </si>
  <si>
    <t>CH4,LC</t>
    <phoneticPr fontId="33" type="noConversion"/>
  </si>
  <si>
    <t>N2O,LC</t>
    <phoneticPr fontId="33" type="noConversion"/>
  </si>
  <si>
    <t>总排放（计算值）</t>
    <phoneticPr fontId="33" type="noConversion"/>
  </si>
  <si>
    <t>原气</t>
  </si>
  <si>
    <t>电力</t>
    <phoneticPr fontId="33" type="noConversion"/>
  </si>
  <si>
    <t>一次能源强度</t>
    <phoneticPr fontId="33" type="noConversion"/>
  </si>
  <si>
    <t>间接CO2</t>
    <phoneticPr fontId="33" type="noConversion"/>
  </si>
  <si>
    <t>间接所有GHG</t>
    <phoneticPr fontId="33" type="noConversion"/>
  </si>
  <si>
    <t>间接CO2是直接CO2的比例</t>
    <phoneticPr fontId="33" type="noConversion"/>
  </si>
  <si>
    <t>间接所有GHG是直接CO2的比例</t>
    <phoneticPr fontId="33" type="noConversion"/>
  </si>
  <si>
    <t>javascript:g_res_status=0;initPage();</t>
    <phoneticPr fontId="33" type="noConversion"/>
  </si>
  <si>
    <r>
      <t>上游C</t>
    </r>
    <r>
      <rPr>
        <sz val="11"/>
        <color indexed="8"/>
        <rFont val="宋体"/>
        <family val="3"/>
        <charset val="134"/>
      </rPr>
      <t>H4</t>
    </r>
    <phoneticPr fontId="33" type="noConversion"/>
  </si>
  <si>
    <r>
      <t>上游N2</t>
    </r>
    <r>
      <rPr>
        <sz val="11"/>
        <color indexed="8"/>
        <rFont val="宋体"/>
        <family val="3"/>
        <charset val="134"/>
      </rPr>
      <t>O</t>
    </r>
    <phoneticPr fontId="33" type="noConversion"/>
  </si>
  <si>
    <t>求算值</t>
    <phoneticPr fontId="33" type="noConversion"/>
  </si>
  <si>
    <t>控制变量</t>
    <phoneticPr fontId="33" type="noConversion"/>
  </si>
  <si>
    <t>LC for SE</t>
    <phoneticPr fontId="33" type="noConversion"/>
  </si>
  <si>
    <t>Sheet Name</t>
    <phoneticPr fontId="33" type="noConversion"/>
  </si>
  <si>
    <t>Description</t>
    <phoneticPr fontId="33" type="noConversion"/>
  </si>
  <si>
    <t>Dominant secondary energy pathways LCA inventory (Linked or inputted)</t>
    <phoneticPr fontId="33" type="noConversion"/>
  </si>
  <si>
    <t xml:space="preserve">LCA for dominant secondary energy pathways inventory </t>
    <phoneticPr fontId="33" type="noConversion"/>
  </si>
  <si>
    <t>LC factor</t>
  </si>
  <si>
    <t>LC GHG</t>
    <phoneticPr fontId="9" type="noConversion"/>
  </si>
  <si>
    <t>CO2,direct</t>
    <phoneticPr fontId="9" type="noConversion"/>
  </si>
  <si>
    <t>LC</t>
    <phoneticPr fontId="9" type="noConversion"/>
  </si>
  <si>
    <r>
      <t>L</t>
    </r>
    <r>
      <rPr>
        <sz val="11"/>
        <color indexed="8"/>
        <rFont val="宋体"/>
        <family val="3"/>
        <charset val="134"/>
      </rPr>
      <t>C</t>
    </r>
    <phoneticPr fontId="9" type="noConversion"/>
  </si>
  <si>
    <t>Mg/MJ</t>
    <phoneticPr fontId="9" type="noConversion"/>
  </si>
  <si>
    <t>Process fuel consumption for fuel transportation (kJ/MJ)</t>
    <phoneticPr fontId="9" type="noConversion"/>
  </si>
  <si>
    <t>含在燃料中</t>
    <phoneticPr fontId="9" type="noConversion"/>
  </si>
  <si>
    <t>PC+CCS</t>
    <phoneticPr fontId="9" type="noConversion"/>
  </si>
  <si>
    <t>IGCC+CCS</t>
    <phoneticPr fontId="9" type="noConversion"/>
  </si>
  <si>
    <t>捕获率</t>
    <phoneticPr fontId="9" type="noConversion"/>
  </si>
  <si>
    <t>CO2 cautured （g/MJ）</t>
    <phoneticPr fontId="9" type="noConversion"/>
  </si>
  <si>
    <t>LC EC</t>
    <phoneticPr fontId="9" type="noConversion"/>
  </si>
  <si>
    <t>CTL+CCS</t>
    <phoneticPr fontId="9" type="noConversion"/>
  </si>
  <si>
    <t>CTL(low)+CCS</t>
    <phoneticPr fontId="9" type="noConversion"/>
  </si>
  <si>
    <t>T&amp;D</t>
    <phoneticPr fontId="33" type="noConversion"/>
  </si>
  <si>
    <r>
      <t>T</t>
    </r>
    <r>
      <rPr>
        <sz val="11"/>
        <color indexed="8"/>
        <rFont val="宋体"/>
        <family val="3"/>
        <charset val="134"/>
      </rPr>
      <t>ransportation and distribution</t>
    </r>
    <phoneticPr fontId="33" type="noConversion"/>
  </si>
  <si>
    <t>CtL</t>
  </si>
  <si>
    <r>
      <t>C</t>
    </r>
    <r>
      <rPr>
        <sz val="11"/>
        <color indexed="8"/>
        <rFont val="宋体"/>
        <family val="3"/>
        <charset val="134"/>
      </rPr>
      <t>oal to liquid</t>
    </r>
    <phoneticPr fontId="33" type="noConversion"/>
  </si>
  <si>
    <r>
      <t>C</t>
    </r>
    <r>
      <rPr>
        <sz val="11"/>
        <color indexed="8"/>
        <rFont val="宋体"/>
        <family val="3"/>
        <charset val="134"/>
      </rPr>
      <t>TL + CCS</t>
    </r>
    <phoneticPr fontId="33" type="noConversion"/>
  </si>
  <si>
    <t>CtL(CCS)</t>
    <phoneticPr fontId="33" type="noConversion"/>
  </si>
  <si>
    <t>WtP efficiency(%)</t>
    <phoneticPr fontId="9" type="noConversion"/>
  </si>
  <si>
    <t>WTP efficiency (%)</t>
    <phoneticPr fontId="9" type="noConversion"/>
  </si>
  <si>
    <t>WTP efficiency (%)</t>
    <phoneticPr fontId="9" type="noConversion"/>
  </si>
  <si>
    <t>WtP efficiency (%)</t>
    <phoneticPr fontId="9" type="noConversion"/>
  </si>
  <si>
    <t>NG</t>
    <phoneticPr fontId="37" type="noConversion"/>
  </si>
  <si>
    <t>Processing efficiency</t>
    <phoneticPr fontId="37" type="noConversion"/>
  </si>
  <si>
    <t>Extraction efficiency</t>
    <phoneticPr fontId="37" type="noConversion"/>
  </si>
  <si>
    <t>Total</t>
    <phoneticPr fontId="37" type="noConversion"/>
  </si>
  <si>
    <t>Process fuel</t>
    <phoneticPr fontId="37" type="noConversion"/>
  </si>
  <si>
    <t>NG</t>
    <phoneticPr fontId="37" type="noConversion"/>
  </si>
  <si>
    <t>CNG</t>
    <phoneticPr fontId="37" type="noConversion"/>
  </si>
  <si>
    <t>Compression efficiency</t>
    <phoneticPr fontId="37" type="noConversion"/>
  </si>
  <si>
    <t>NG lost</t>
    <phoneticPr fontId="37" type="noConversion"/>
  </si>
  <si>
    <t>electrcity</t>
    <phoneticPr fontId="37" type="noConversion"/>
  </si>
  <si>
    <t>efficiency</t>
    <phoneticPr fontId="37" type="noConversion"/>
  </si>
  <si>
    <t>Process fuel</t>
    <phoneticPr fontId="37" type="noConversion"/>
  </si>
  <si>
    <t>electricity</t>
    <phoneticPr fontId="37" type="noConversion"/>
  </si>
  <si>
    <t>Electricity</t>
    <phoneticPr fontId="37" type="noConversion"/>
  </si>
  <si>
    <t>GTL</t>
    <phoneticPr fontId="37" type="noConversion"/>
  </si>
  <si>
    <t>km</t>
    <phoneticPr fontId="37" type="noConversion"/>
  </si>
  <si>
    <t>海运</t>
    <phoneticPr fontId="37" type="noConversion"/>
  </si>
  <si>
    <t>公路</t>
    <phoneticPr fontId="37" type="noConversion"/>
  </si>
  <si>
    <t xml:space="preserve">feedstock transportation distance </t>
    <phoneticPr fontId="37" type="noConversion"/>
  </si>
  <si>
    <t>GtL T&amp;D</t>
    <phoneticPr fontId="37" type="noConversion"/>
  </si>
  <si>
    <t>同成品油</t>
    <phoneticPr fontId="37" type="noConversion"/>
  </si>
  <si>
    <t>管道</t>
    <phoneticPr fontId="37" type="noConversion"/>
  </si>
  <si>
    <t>管道</t>
    <phoneticPr fontId="37" type="noConversion"/>
  </si>
  <si>
    <t>热值</t>
    <phoneticPr fontId="37" type="noConversion"/>
  </si>
  <si>
    <t>MJ/kg</t>
    <phoneticPr fontId="37" type="noConversion"/>
  </si>
  <si>
    <t>MJ/kg</t>
    <phoneticPr fontId="37" type="noConversion"/>
  </si>
  <si>
    <t>NG开采处理阶段</t>
    <phoneticPr fontId="37" type="noConversion"/>
  </si>
  <si>
    <r>
      <t>N</t>
    </r>
    <r>
      <rPr>
        <sz val="11"/>
        <color indexed="8"/>
        <rFont val="宋体"/>
        <family val="3"/>
        <charset val="134"/>
      </rPr>
      <t>G运输阶段</t>
    </r>
    <phoneticPr fontId="37" type="noConversion"/>
  </si>
  <si>
    <r>
      <t>N</t>
    </r>
    <r>
      <rPr>
        <sz val="11"/>
        <color indexed="8"/>
        <rFont val="宋体"/>
        <family val="3"/>
        <charset val="134"/>
      </rPr>
      <t>G压缩阶段</t>
    </r>
    <phoneticPr fontId="37" type="noConversion"/>
  </si>
  <si>
    <r>
      <t>得到1</t>
    </r>
    <r>
      <rPr>
        <sz val="11"/>
        <color indexed="8"/>
        <rFont val="宋体"/>
        <family val="3"/>
        <charset val="134"/>
      </rPr>
      <t>MJ</t>
    </r>
    <phoneticPr fontId="37" type="noConversion"/>
  </si>
  <si>
    <t>单位</t>
    <phoneticPr fontId="37" type="noConversion"/>
  </si>
  <si>
    <r>
      <t>运输1</t>
    </r>
    <r>
      <rPr>
        <sz val="11"/>
        <color indexed="8"/>
        <rFont val="宋体"/>
        <family val="3"/>
        <charset val="134"/>
      </rPr>
      <t>MJ</t>
    </r>
    <phoneticPr fontId="37" type="noConversion"/>
  </si>
  <si>
    <t>得到1MJ</t>
    <phoneticPr fontId="37" type="noConversion"/>
  </si>
  <si>
    <t>直接消耗</t>
    <phoneticPr fontId="37" type="noConversion"/>
  </si>
  <si>
    <r>
      <t>N</t>
    </r>
    <r>
      <rPr>
        <sz val="11"/>
        <color indexed="8"/>
        <rFont val="宋体"/>
        <family val="3"/>
        <charset val="134"/>
      </rPr>
      <t>G</t>
    </r>
    <phoneticPr fontId="37" type="noConversion"/>
  </si>
  <si>
    <t>比例</t>
    <phoneticPr fontId="37" type="noConversion"/>
  </si>
  <si>
    <t>运输能耗</t>
    <phoneticPr fontId="37" type="noConversion"/>
  </si>
  <si>
    <r>
      <t>k</t>
    </r>
    <r>
      <rPr>
        <sz val="11"/>
        <color indexed="8"/>
        <rFont val="宋体"/>
        <family val="3"/>
        <charset val="134"/>
      </rPr>
      <t>j/tkm</t>
    </r>
    <phoneticPr fontId="37" type="noConversion"/>
  </si>
  <si>
    <t>KJ</t>
    <phoneticPr fontId="37" type="noConversion"/>
  </si>
  <si>
    <t>电</t>
    <phoneticPr fontId="37" type="noConversion"/>
  </si>
  <si>
    <r>
      <t>K</t>
    </r>
    <r>
      <rPr>
        <sz val="11"/>
        <color indexed="8"/>
        <rFont val="宋体"/>
        <family val="3"/>
        <charset val="134"/>
      </rPr>
      <t>J</t>
    </r>
    <phoneticPr fontId="37" type="noConversion"/>
  </si>
  <si>
    <t>KJ</t>
    <phoneticPr fontId="37" type="noConversion"/>
  </si>
  <si>
    <r>
      <t>N</t>
    </r>
    <r>
      <rPr>
        <sz val="11"/>
        <color indexed="8"/>
        <rFont val="宋体"/>
        <family val="3"/>
        <charset val="134"/>
      </rPr>
      <t>G-for-</t>
    </r>
    <r>
      <rPr>
        <sz val="11"/>
        <color theme="1"/>
        <rFont val="宋体"/>
        <family val="3"/>
        <charset val="134"/>
        <scheme val="minor"/>
      </rPr>
      <t>CNG transportation distance</t>
    </r>
    <phoneticPr fontId="37" type="noConversion"/>
  </si>
  <si>
    <r>
      <t>NG</t>
    </r>
    <r>
      <rPr>
        <sz val="11"/>
        <color indexed="8"/>
        <rFont val="宋体"/>
        <family val="3"/>
        <charset val="134"/>
      </rPr>
      <t>-for-process fuel</t>
    </r>
    <r>
      <rPr>
        <sz val="11"/>
        <color theme="1"/>
        <rFont val="宋体"/>
        <family val="3"/>
        <charset val="134"/>
        <scheme val="minor"/>
      </rPr>
      <t xml:space="preserve"> transportation</t>
    </r>
    <phoneticPr fontId="37" type="noConversion"/>
  </si>
  <si>
    <t>NG as fuel</t>
    <phoneticPr fontId="37" type="noConversion"/>
  </si>
  <si>
    <t>运输1MJ</t>
    <phoneticPr fontId="37" type="noConversion"/>
  </si>
  <si>
    <t>单位</t>
    <phoneticPr fontId="37" type="noConversion"/>
  </si>
  <si>
    <t>直接消耗</t>
    <phoneticPr fontId="37" type="noConversion"/>
  </si>
  <si>
    <t>转化率</t>
    <phoneticPr fontId="37" type="noConversion"/>
  </si>
  <si>
    <t>得到1MJ产品</t>
    <phoneticPr fontId="37" type="noConversion"/>
  </si>
  <si>
    <t>得到1MJ产品</t>
    <phoneticPr fontId="37" type="noConversion"/>
  </si>
  <si>
    <t>NG</t>
    <phoneticPr fontId="37" type="noConversion"/>
  </si>
  <si>
    <t>电</t>
    <phoneticPr fontId="37" type="noConversion"/>
  </si>
  <si>
    <t>LCA-Coal</t>
    <phoneticPr fontId="37" type="noConversion"/>
  </si>
  <si>
    <r>
      <t>L</t>
    </r>
    <r>
      <rPr>
        <sz val="11"/>
        <color indexed="8"/>
        <rFont val="宋体"/>
        <family val="3"/>
        <charset val="134"/>
      </rPr>
      <t>CA-NG</t>
    </r>
    <phoneticPr fontId="37" type="noConversion"/>
  </si>
  <si>
    <r>
      <t>L</t>
    </r>
    <r>
      <rPr>
        <sz val="11"/>
        <color indexed="8"/>
        <rFont val="宋体"/>
        <family val="3"/>
        <charset val="134"/>
      </rPr>
      <t>CA-Oil</t>
    </r>
    <phoneticPr fontId="37" type="noConversion"/>
  </si>
  <si>
    <t>LCA-PE</t>
    <phoneticPr fontId="37" type="noConversion"/>
  </si>
  <si>
    <r>
      <t>L</t>
    </r>
    <r>
      <rPr>
        <sz val="11"/>
        <color indexed="8"/>
        <rFont val="宋体"/>
        <family val="3"/>
        <charset val="134"/>
      </rPr>
      <t>CA-CO2</t>
    </r>
    <phoneticPr fontId="37" type="noConversion"/>
  </si>
  <si>
    <r>
      <t>K</t>
    </r>
    <r>
      <rPr>
        <sz val="11"/>
        <color indexed="8"/>
        <rFont val="宋体"/>
        <family val="3"/>
        <charset val="134"/>
      </rPr>
      <t>J/MJ</t>
    </r>
    <phoneticPr fontId="37" type="noConversion"/>
  </si>
  <si>
    <r>
      <t>m</t>
    </r>
    <r>
      <rPr>
        <sz val="11"/>
        <color indexed="8"/>
        <rFont val="宋体"/>
        <family val="3"/>
        <charset val="134"/>
      </rPr>
      <t>g/MJ</t>
    </r>
    <phoneticPr fontId="37" type="noConversion"/>
  </si>
  <si>
    <t>LCA-CH4</t>
    <phoneticPr fontId="37" type="noConversion"/>
  </si>
  <si>
    <t>LCA-N2O</t>
    <phoneticPr fontId="37" type="noConversion"/>
  </si>
  <si>
    <r>
      <t>L</t>
    </r>
    <r>
      <rPr>
        <sz val="11"/>
        <color indexed="8"/>
        <rFont val="宋体"/>
        <family val="3"/>
        <charset val="134"/>
      </rPr>
      <t>CA-GHG</t>
    </r>
    <phoneticPr fontId="37" type="noConversion"/>
  </si>
  <si>
    <t>g/MJ</t>
    <phoneticPr fontId="37" type="noConversion"/>
  </si>
  <si>
    <r>
      <t>C</t>
    </r>
    <r>
      <rPr>
        <sz val="11"/>
        <color indexed="8"/>
        <rFont val="宋体"/>
        <family val="3"/>
        <charset val="134"/>
      </rPr>
      <t>NG</t>
    </r>
    <phoneticPr fontId="37" type="noConversion"/>
  </si>
  <si>
    <t>NG液化阶段</t>
    <phoneticPr fontId="37" type="noConversion"/>
  </si>
  <si>
    <t>LNG运输阶段</t>
    <phoneticPr fontId="37" type="noConversion"/>
  </si>
  <si>
    <t>LNG输配阶段</t>
    <phoneticPr fontId="37" type="noConversion"/>
  </si>
  <si>
    <t>得到1MJ</t>
    <phoneticPr fontId="37" type="noConversion"/>
  </si>
  <si>
    <t>燃料油</t>
    <phoneticPr fontId="37" type="noConversion"/>
  </si>
  <si>
    <t>柴油</t>
    <phoneticPr fontId="37" type="noConversion"/>
  </si>
  <si>
    <t>运输能耗</t>
    <phoneticPr fontId="37" type="noConversion"/>
  </si>
  <si>
    <r>
      <t>T</t>
    </r>
    <r>
      <rPr>
        <sz val="11"/>
        <color indexed="8"/>
        <rFont val="宋体"/>
        <family val="3"/>
        <charset val="134"/>
      </rPr>
      <t>&amp;D表单</t>
    </r>
    <phoneticPr fontId="37" type="noConversion"/>
  </si>
  <si>
    <t>GTL</t>
    <phoneticPr fontId="37" type="noConversion"/>
  </si>
  <si>
    <t>GTL生产</t>
    <phoneticPr fontId="37" type="noConversion"/>
  </si>
  <si>
    <t>GTL输配阶段</t>
    <phoneticPr fontId="37" type="noConversion"/>
  </si>
  <si>
    <t>使用阶段</t>
    <phoneticPr fontId="37" type="noConversion"/>
  </si>
  <si>
    <t>CNG运输</t>
    <phoneticPr fontId="37" type="noConversion"/>
  </si>
  <si>
    <t>NG，CNG，LNG， GTL</t>
    <phoneticPr fontId="33" type="noConversion"/>
  </si>
  <si>
    <t>LNG</t>
    <phoneticPr fontId="22" type="noConversion"/>
  </si>
  <si>
    <t>GTL</t>
    <phoneticPr fontId="22" type="noConversion"/>
  </si>
  <si>
    <t>热值</t>
    <phoneticPr fontId="38" type="noConversion"/>
  </si>
  <si>
    <t>原油</t>
    <phoneticPr fontId="38" type="noConversion"/>
  </si>
  <si>
    <t>汽油</t>
    <phoneticPr fontId="38" type="noConversion"/>
  </si>
  <si>
    <t>柴油</t>
    <phoneticPr fontId="38" type="noConversion"/>
  </si>
  <si>
    <t>燃料油</t>
    <phoneticPr fontId="38" type="noConversion"/>
  </si>
  <si>
    <r>
      <t>M</t>
    </r>
    <r>
      <rPr>
        <sz val="11"/>
        <color indexed="8"/>
        <rFont val="宋体"/>
        <family val="3"/>
        <charset val="134"/>
      </rPr>
      <t>J/kg</t>
    </r>
    <phoneticPr fontId="38" type="noConversion"/>
  </si>
  <si>
    <t>原油开采、处理效率</t>
    <phoneticPr fontId="38" type="noConversion"/>
  </si>
  <si>
    <t>工艺燃料</t>
    <phoneticPr fontId="38" type="noConversion"/>
  </si>
  <si>
    <t>对应得到1MJ</t>
    <phoneticPr fontId="38" type="noConversion"/>
  </si>
  <si>
    <t>原油运输</t>
    <phoneticPr fontId="38" type="noConversion"/>
  </si>
  <si>
    <t>效率</t>
    <phoneticPr fontId="38" type="noConversion"/>
  </si>
  <si>
    <t>炼制能效</t>
    <phoneticPr fontId="38" type="noConversion"/>
  </si>
  <si>
    <t>%</t>
    <phoneticPr fontId="38" type="noConversion"/>
  </si>
  <si>
    <t>能耗结构</t>
    <phoneticPr fontId="38" type="noConversion"/>
  </si>
  <si>
    <t>成品油运输</t>
    <phoneticPr fontId="38" type="noConversion"/>
  </si>
  <si>
    <r>
      <t>K</t>
    </r>
    <r>
      <rPr>
        <sz val="11"/>
        <color indexed="8"/>
        <rFont val="宋体"/>
        <family val="3"/>
        <charset val="134"/>
      </rPr>
      <t>J/MJ</t>
    </r>
    <phoneticPr fontId="38" type="noConversion"/>
  </si>
  <si>
    <t>柴油</t>
    <phoneticPr fontId="38" type="noConversion"/>
  </si>
  <si>
    <t>燃料油</t>
    <phoneticPr fontId="38" type="noConversion"/>
  </si>
  <si>
    <t>燃料油/CtL/GTL同柴油</t>
    <phoneticPr fontId="9" type="noConversion"/>
  </si>
  <si>
    <t>原油开采处理</t>
    <phoneticPr fontId="38" type="noConversion"/>
  </si>
  <si>
    <t>原油运输</t>
    <phoneticPr fontId="38" type="noConversion"/>
  </si>
  <si>
    <t>柴油炼制</t>
    <phoneticPr fontId="38" type="noConversion"/>
  </si>
  <si>
    <t>柴油输配</t>
    <phoneticPr fontId="38" type="noConversion"/>
  </si>
  <si>
    <t>柴油使用</t>
    <phoneticPr fontId="38" type="noConversion"/>
  </si>
  <si>
    <t>转化率</t>
    <phoneticPr fontId="38" type="noConversion"/>
  </si>
  <si>
    <t>各阶段</t>
    <phoneticPr fontId="38" type="noConversion"/>
  </si>
  <si>
    <t>对应得到1MJ</t>
    <phoneticPr fontId="38" type="noConversion"/>
  </si>
  <si>
    <t>合计</t>
    <phoneticPr fontId="38" type="noConversion"/>
  </si>
  <si>
    <t>汽油炼制</t>
    <phoneticPr fontId="38" type="noConversion"/>
  </si>
  <si>
    <t>汽油输配</t>
    <phoneticPr fontId="38" type="noConversion"/>
  </si>
  <si>
    <t>燃料油</t>
    <phoneticPr fontId="38" type="noConversion"/>
  </si>
  <si>
    <t>燃料油炼制</t>
    <phoneticPr fontId="38" type="noConversion"/>
  </si>
  <si>
    <t>燃料油输配</t>
    <phoneticPr fontId="38" type="noConversion"/>
  </si>
  <si>
    <t>汽油使用</t>
    <phoneticPr fontId="38" type="noConversion"/>
  </si>
  <si>
    <t>燃料油使用</t>
    <phoneticPr fontId="38" type="noConversion"/>
  </si>
  <si>
    <t>碳含量</t>
    <phoneticPr fontId="33" type="noConversion"/>
  </si>
  <si>
    <t>氧化率</t>
    <phoneticPr fontId="33" type="noConversion"/>
  </si>
  <si>
    <t>直接甲烷排放</t>
    <phoneticPr fontId="33" type="noConversion"/>
  </si>
  <si>
    <r>
      <rPr>
        <b/>
        <sz val="11"/>
        <color indexed="8"/>
        <rFont val="宋体"/>
        <family val="3"/>
        <charset val="134"/>
      </rPr>
      <t>直接</t>
    </r>
    <r>
      <rPr>
        <b/>
        <sz val="11"/>
        <color indexed="8"/>
        <rFont val="Times New Roman"/>
        <family val="1"/>
      </rPr>
      <t>N2O</t>
    </r>
    <r>
      <rPr>
        <b/>
        <sz val="11"/>
        <color indexed="8"/>
        <rFont val="宋体"/>
        <family val="3"/>
        <charset val="134"/>
      </rPr>
      <t>排放</t>
    </r>
    <phoneticPr fontId="33" type="noConversion"/>
  </si>
  <si>
    <t>非燃烧甲烷排放</t>
    <phoneticPr fontId="33" type="noConversion"/>
  </si>
  <si>
    <t>mg/MJ</t>
    <phoneticPr fontId="33" type="noConversion"/>
  </si>
  <si>
    <t>能源转化效率</t>
    <phoneticPr fontId="33" type="noConversion"/>
  </si>
  <si>
    <t>能源转化效率</t>
    <phoneticPr fontId="33" type="noConversion"/>
  </si>
  <si>
    <t>比例</t>
    <phoneticPr fontId="33" type="noConversion"/>
  </si>
  <si>
    <r>
      <rPr>
        <b/>
        <sz val="11"/>
        <color indexed="8"/>
        <rFont val="宋体"/>
        <family val="3"/>
        <charset val="134"/>
      </rPr>
      <t>原料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燃料转化效率</t>
    </r>
    <phoneticPr fontId="33" type="noConversion"/>
  </si>
  <si>
    <t>输配效率</t>
    <phoneticPr fontId="26" type="noConversion"/>
  </si>
  <si>
    <t>原煤</t>
    <phoneticPr fontId="38" type="noConversion"/>
  </si>
  <si>
    <t>洗精煤</t>
    <phoneticPr fontId="38" type="noConversion"/>
  </si>
  <si>
    <t>原煤开采、处理效率</t>
    <phoneticPr fontId="38" type="noConversion"/>
  </si>
  <si>
    <t>煤炭运输</t>
    <phoneticPr fontId="38" type="noConversion"/>
  </si>
  <si>
    <t>原煤开采处理</t>
    <phoneticPr fontId="38" type="noConversion"/>
  </si>
  <si>
    <t>煤炭使用</t>
    <phoneticPr fontId="38" type="noConversion"/>
  </si>
  <si>
    <t>南方电网</t>
    <phoneticPr fontId="26" type="noConversion"/>
  </si>
  <si>
    <t>火</t>
    <phoneticPr fontId="26" type="noConversion"/>
  </si>
  <si>
    <t>水</t>
    <phoneticPr fontId="26" type="noConversion"/>
  </si>
  <si>
    <t>核</t>
    <phoneticPr fontId="26" type="noConversion"/>
  </si>
  <si>
    <t>风</t>
    <phoneticPr fontId="26" type="noConversion"/>
  </si>
  <si>
    <t>合计</t>
    <phoneticPr fontId="26" type="noConversion"/>
  </si>
  <si>
    <t>东北电网</t>
    <phoneticPr fontId="26" type="noConversion"/>
  </si>
  <si>
    <t>华北电网</t>
    <phoneticPr fontId="26" type="noConversion"/>
  </si>
  <si>
    <t>南方电网</t>
    <phoneticPr fontId="26" type="noConversion"/>
  </si>
  <si>
    <r>
      <t>根据侯萍2</t>
    </r>
    <r>
      <rPr>
        <sz val="11"/>
        <color indexed="8"/>
        <rFont val="宋体"/>
        <family val="3"/>
        <charset val="134"/>
      </rPr>
      <t>012</t>
    </r>
    <phoneticPr fontId="26" type="noConversion"/>
  </si>
  <si>
    <r>
      <t>gCO</t>
    </r>
    <r>
      <rPr>
        <vertAlign val="subscript"/>
        <sz val="11"/>
        <color indexed="8"/>
        <rFont val="Times New Roman"/>
        <family val="1"/>
      </rPr>
      <t>2,e</t>
    </r>
    <r>
      <rPr>
        <sz val="11"/>
        <color indexed="8"/>
        <rFont val="Times New Roman"/>
        <family val="1"/>
      </rPr>
      <t xml:space="preserve"> /kWh</t>
    </r>
    <phoneticPr fontId="26" type="noConversion"/>
  </si>
  <si>
    <t>东北电网</t>
    <phoneticPr fontId="26" type="noConversion"/>
  </si>
  <si>
    <t>东北电网</t>
    <phoneticPr fontId="26" type="noConversion"/>
  </si>
  <si>
    <t>燃料开采与处理</t>
    <phoneticPr fontId="38" type="noConversion"/>
  </si>
  <si>
    <t>燃料运输</t>
    <phoneticPr fontId="38" type="noConversion"/>
  </si>
  <si>
    <t>使用阶段</t>
    <phoneticPr fontId="38" type="noConversion"/>
  </si>
  <si>
    <t>其中</t>
    <phoneticPr fontId="26" type="noConversion"/>
  </si>
  <si>
    <t>动力煤</t>
    <phoneticPr fontId="38" type="noConversion"/>
  </si>
  <si>
    <t>全国平均</t>
    <phoneticPr fontId="26" type="noConversion"/>
  </si>
  <si>
    <t>燃料制备%</t>
    <phoneticPr fontId="26" type="noConversion"/>
  </si>
  <si>
    <t>燃料运输%</t>
    <phoneticPr fontId="26" type="noConversion"/>
  </si>
  <si>
    <t>燃料燃烧%</t>
    <phoneticPr fontId="26" type="noConversion"/>
  </si>
  <si>
    <t>燃料制备</t>
    <phoneticPr fontId="26" type="noConversion"/>
  </si>
  <si>
    <t>燃料运输</t>
    <phoneticPr fontId="26" type="noConversion"/>
  </si>
  <si>
    <t>燃料燃烧</t>
    <phoneticPr fontId="26" type="noConversion"/>
  </si>
  <si>
    <t>CTL制备</t>
    <phoneticPr fontId="9" type="noConversion"/>
  </si>
  <si>
    <r>
      <t>C</t>
    </r>
    <r>
      <rPr>
        <sz val="11"/>
        <color indexed="8"/>
        <rFont val="宋体"/>
        <family val="3"/>
        <charset val="134"/>
      </rPr>
      <t>TL输配</t>
    </r>
    <phoneticPr fontId="9" type="noConversion"/>
  </si>
  <si>
    <r>
      <t>C</t>
    </r>
    <r>
      <rPr>
        <sz val="11"/>
        <color indexed="8"/>
        <rFont val="宋体"/>
        <family val="3"/>
        <charset val="134"/>
      </rPr>
      <t>TL燃烧</t>
    </r>
    <phoneticPr fontId="9" type="noConversion"/>
  </si>
  <si>
    <r>
      <t>C</t>
    </r>
    <r>
      <rPr>
        <sz val="11"/>
        <color indexed="8"/>
        <rFont val="宋体"/>
        <family val="3"/>
        <charset val="134"/>
      </rPr>
      <t>TL制备</t>
    </r>
    <phoneticPr fontId="9" type="noConversion"/>
  </si>
  <si>
    <t>捕获</t>
    <phoneticPr fontId="9" type="noConversion"/>
  </si>
  <si>
    <r>
      <t>C</t>
    </r>
    <r>
      <rPr>
        <sz val="11"/>
        <color indexed="8"/>
        <rFont val="宋体"/>
        <family val="3"/>
        <charset val="134"/>
      </rPr>
      <t>TL输配</t>
    </r>
    <phoneticPr fontId="9" type="noConversion"/>
  </si>
  <si>
    <t>NG</t>
    <phoneticPr fontId="37" type="noConversion"/>
  </si>
  <si>
    <r>
      <t>L</t>
    </r>
    <r>
      <rPr>
        <sz val="11"/>
        <color indexed="8"/>
        <rFont val="宋体"/>
        <family val="3"/>
        <charset val="134"/>
      </rPr>
      <t>NG</t>
    </r>
    <r>
      <rPr>
        <sz val="11"/>
        <color indexed="8"/>
        <rFont val="宋体"/>
        <family val="3"/>
        <charset val="134"/>
      </rPr>
      <t>1</t>
    </r>
    <phoneticPr fontId="37" type="noConversion"/>
  </si>
  <si>
    <r>
      <t>L</t>
    </r>
    <r>
      <rPr>
        <sz val="11"/>
        <color indexed="8"/>
        <rFont val="宋体"/>
        <family val="3"/>
        <charset val="134"/>
      </rPr>
      <t>NG</t>
    </r>
    <r>
      <rPr>
        <sz val="11"/>
        <color indexed="8"/>
        <rFont val="宋体"/>
        <family val="3"/>
        <charset val="134"/>
      </rPr>
      <t>2</t>
    </r>
    <phoneticPr fontId="37" type="noConversion"/>
  </si>
  <si>
    <r>
      <t>L</t>
    </r>
    <r>
      <rPr>
        <sz val="11"/>
        <color indexed="8"/>
        <rFont val="宋体"/>
        <family val="3"/>
        <charset val="134"/>
      </rPr>
      <t>NG transportation distance by truck</t>
    </r>
    <phoneticPr fontId="37" type="noConversion"/>
  </si>
  <si>
    <t>LNG1</t>
    <phoneticPr fontId="37" type="noConversion"/>
  </si>
  <si>
    <r>
      <t>LNG transportation distance</t>
    </r>
    <r>
      <rPr>
        <sz val="11"/>
        <color indexed="8"/>
        <rFont val="宋体"/>
        <family val="3"/>
        <charset val="134"/>
      </rPr>
      <t xml:space="preserve"> by tank from oversea</t>
    </r>
    <phoneticPr fontId="37" type="noConversion"/>
  </si>
  <si>
    <t>LNG2</t>
    <phoneticPr fontId="37" type="noConversion"/>
  </si>
  <si>
    <t>LNG3</t>
    <phoneticPr fontId="37" type="noConversion"/>
  </si>
  <si>
    <t>LNG made from gas-tube after</t>
    <phoneticPr fontId="37" type="noConversion"/>
  </si>
  <si>
    <r>
      <t>k</t>
    </r>
    <r>
      <rPr>
        <sz val="11"/>
        <color indexed="8"/>
        <rFont val="宋体"/>
        <family val="3"/>
        <charset val="134"/>
      </rPr>
      <t>m</t>
    </r>
    <phoneticPr fontId="37" type="noConversion"/>
  </si>
  <si>
    <t>海运</t>
    <phoneticPr fontId="37" type="noConversion"/>
  </si>
  <si>
    <t>公路</t>
    <phoneticPr fontId="37" type="noConversion"/>
  </si>
  <si>
    <t>管道</t>
    <phoneticPr fontId="37" type="noConversion"/>
  </si>
  <si>
    <r>
      <t>N</t>
    </r>
    <r>
      <rPr>
        <sz val="11"/>
        <color indexed="8"/>
        <rFont val="宋体"/>
        <family val="3"/>
        <charset val="134"/>
      </rPr>
      <t>G输配阶段</t>
    </r>
    <phoneticPr fontId="37" type="noConversion"/>
  </si>
  <si>
    <r>
      <t>L</t>
    </r>
    <r>
      <rPr>
        <sz val="11"/>
        <color indexed="8"/>
        <rFont val="宋体"/>
        <family val="3"/>
        <charset val="134"/>
      </rPr>
      <t>NG</t>
    </r>
    <r>
      <rPr>
        <sz val="11"/>
        <color indexed="8"/>
        <rFont val="宋体"/>
        <family val="3"/>
        <charset val="134"/>
      </rPr>
      <t>3</t>
    </r>
    <phoneticPr fontId="37" type="noConversion"/>
  </si>
  <si>
    <t>LNG made in gas field</t>
    <phoneticPr fontId="37" type="noConversion"/>
  </si>
  <si>
    <r>
      <t>运输1</t>
    </r>
    <r>
      <rPr>
        <sz val="11"/>
        <color indexed="8"/>
        <rFont val="宋体"/>
        <family val="3"/>
        <charset val="134"/>
      </rPr>
      <t>MJ</t>
    </r>
    <phoneticPr fontId="37" type="noConversion"/>
  </si>
  <si>
    <t>合计</t>
    <phoneticPr fontId="9" type="noConversion"/>
  </si>
  <si>
    <t>NG</t>
    <phoneticPr fontId="26" type="noConversion"/>
  </si>
  <si>
    <t>Oil</t>
    <phoneticPr fontId="26" type="noConversion"/>
  </si>
  <si>
    <t>Coal</t>
    <phoneticPr fontId="26" type="noConversion"/>
  </si>
  <si>
    <t>Nuclear</t>
    <phoneticPr fontId="26" type="noConversion"/>
  </si>
  <si>
    <t>Biomass</t>
    <phoneticPr fontId="26" type="noConversion"/>
  </si>
  <si>
    <t>Others</t>
    <phoneticPr fontId="26" type="noConversion"/>
  </si>
  <si>
    <t>Mixed</t>
    <phoneticPr fontId="26" type="noConversion"/>
  </si>
  <si>
    <t>Feedstock to Fuel</t>
    <phoneticPr fontId="26" type="noConversion"/>
  </si>
  <si>
    <t>Fuel transportation</t>
    <phoneticPr fontId="26" type="noConversion"/>
  </si>
  <si>
    <t>Power generation</t>
    <phoneticPr fontId="26" type="noConversion"/>
  </si>
  <si>
    <r>
      <t>NG</t>
    </r>
    <r>
      <rPr>
        <sz val="11"/>
        <color indexed="8"/>
        <rFont val="宋体"/>
        <family val="3"/>
        <charset val="134"/>
      </rPr>
      <t>-based</t>
    </r>
    <phoneticPr fontId="33" type="noConversion"/>
  </si>
  <si>
    <r>
      <t>O</t>
    </r>
    <r>
      <rPr>
        <sz val="11"/>
        <color indexed="8"/>
        <rFont val="宋体"/>
        <family val="3"/>
        <charset val="134"/>
      </rPr>
      <t>il-based</t>
    </r>
    <phoneticPr fontId="33" type="noConversion"/>
  </si>
  <si>
    <r>
      <t>G</t>
    </r>
    <r>
      <rPr>
        <sz val="11"/>
        <color indexed="8"/>
        <rFont val="宋体"/>
        <family val="3"/>
        <charset val="134"/>
      </rPr>
      <t>asoline, Diesel and Residual oil</t>
    </r>
    <phoneticPr fontId="33" type="noConversion"/>
  </si>
  <si>
    <t>GridE</t>
    <phoneticPr fontId="33" type="noConversion"/>
  </si>
  <si>
    <r>
      <t>G</t>
    </r>
    <r>
      <rPr>
        <sz val="11"/>
        <color indexed="8"/>
        <rFont val="宋体"/>
        <family val="3"/>
        <charset val="134"/>
      </rPr>
      <t>rid electricity</t>
    </r>
    <phoneticPr fontId="33" type="noConversion"/>
  </si>
  <si>
    <t>for</t>
    <phoneticPr fontId="33" type="noConversion"/>
  </si>
  <si>
    <t>中海油</t>
    <phoneticPr fontId="33" type="noConversion"/>
  </si>
  <si>
    <t>LNG分析模块</t>
    <phoneticPr fontId="33" type="noConversion"/>
  </si>
  <si>
    <t>开发人：</t>
    <phoneticPr fontId="33" type="noConversion"/>
  </si>
  <si>
    <t>清华大学</t>
    <phoneticPr fontId="33" type="noConversion"/>
  </si>
  <si>
    <t>中国车用能源研究中心</t>
    <phoneticPr fontId="33" type="noConversion"/>
  </si>
  <si>
    <t>欧训民</t>
    <phoneticPr fontId="33" type="noConversion"/>
  </si>
  <si>
    <t>博士</t>
    <phoneticPr fontId="33" type="noConversion"/>
  </si>
  <si>
    <t>Key Input</t>
    <phoneticPr fontId="33" type="noConversion"/>
  </si>
  <si>
    <t>主要参数输入表</t>
    <phoneticPr fontId="33" type="noConversion"/>
  </si>
  <si>
    <t>天然气路线</t>
    <phoneticPr fontId="40" type="noConversion"/>
  </si>
  <si>
    <t>项目级参数</t>
    <phoneticPr fontId="40" type="noConversion"/>
  </si>
  <si>
    <t>百分比</t>
    <phoneticPr fontId="40" type="noConversion"/>
  </si>
  <si>
    <t>直接进口LNG的液化效率</t>
    <phoneticPr fontId="40" type="noConversion"/>
  </si>
  <si>
    <t>国产NG近井液化效率</t>
    <phoneticPr fontId="40" type="noConversion"/>
  </si>
  <si>
    <t>管输NG出管液化效率</t>
    <phoneticPr fontId="40" type="noConversion"/>
  </si>
  <si>
    <t>NG开采效率</t>
    <phoneticPr fontId="40" type="noConversion"/>
  </si>
  <si>
    <t>NG处理效率</t>
    <phoneticPr fontId="40" type="noConversion"/>
  </si>
  <si>
    <t>百分比</t>
    <phoneticPr fontId="40" type="noConversion"/>
  </si>
  <si>
    <t>默认值</t>
    <phoneticPr fontId="37" type="noConversion"/>
  </si>
  <si>
    <t>CNG压缩效率</t>
    <phoneticPr fontId="40" type="noConversion"/>
  </si>
  <si>
    <t>CNG压缩前管输距离</t>
    <phoneticPr fontId="40" type="noConversion"/>
  </si>
  <si>
    <t>公里</t>
    <phoneticPr fontId="40" type="noConversion"/>
  </si>
  <si>
    <t>LNG输配距离</t>
    <phoneticPr fontId="40" type="noConversion"/>
  </si>
  <si>
    <t>LNG海运距离</t>
    <phoneticPr fontId="40" type="noConversion"/>
  </si>
  <si>
    <t>液化前管输距离</t>
    <phoneticPr fontId="40" type="noConversion"/>
  </si>
  <si>
    <t>GTL生产效率</t>
    <phoneticPr fontId="40" type="noConversion"/>
  </si>
  <si>
    <t>百分比</t>
    <phoneticPr fontId="40" type="noConversion"/>
  </si>
  <si>
    <t>液化效率efficiency</t>
    <phoneticPr fontId="37" type="noConversion"/>
  </si>
  <si>
    <t>液化效率</t>
    <phoneticPr fontId="37" type="noConversion"/>
  </si>
  <si>
    <t>所有LNG</t>
    <phoneticPr fontId="37" type="noConversion"/>
  </si>
  <si>
    <t>主要结果输出表</t>
    <phoneticPr fontId="33" type="noConversion"/>
  </si>
  <si>
    <t>天然气路线</t>
    <phoneticPr fontId="40" type="noConversion"/>
  </si>
  <si>
    <t>石油基路线</t>
    <phoneticPr fontId="40" type="noConversion"/>
  </si>
  <si>
    <t>电力路线</t>
    <phoneticPr fontId="40" type="noConversion"/>
  </si>
  <si>
    <t>石油基路线</t>
    <phoneticPr fontId="40" type="noConversion"/>
  </si>
  <si>
    <t>汽油</t>
    <phoneticPr fontId="40" type="noConversion"/>
  </si>
  <si>
    <t>MJ/MJ</t>
    <phoneticPr fontId="40" type="noConversion"/>
  </si>
  <si>
    <t>g/MJ</t>
    <phoneticPr fontId="40" type="noConversion"/>
  </si>
  <si>
    <t>mg/MJ</t>
    <phoneticPr fontId="40" type="noConversion"/>
  </si>
  <si>
    <t>其中：CO2</t>
    <phoneticPr fontId="26" type="noConversion"/>
  </si>
  <si>
    <t>CH4</t>
    <phoneticPr fontId="26" type="noConversion"/>
  </si>
  <si>
    <t>N2O</t>
    <phoneticPr fontId="26" type="noConversion"/>
  </si>
  <si>
    <t>电力路线</t>
    <phoneticPr fontId="40" type="noConversion"/>
  </si>
  <si>
    <t>其中</t>
    <phoneticPr fontId="40" type="noConversion"/>
  </si>
  <si>
    <t>合计</t>
    <phoneticPr fontId="40" type="noConversion"/>
  </si>
  <si>
    <t>合计</t>
    <phoneticPr fontId="40" type="noConversion"/>
  </si>
  <si>
    <t>NG开采CH4逸散比例</t>
    <phoneticPr fontId="40" type="noConversion"/>
  </si>
  <si>
    <t>煤炭</t>
    <phoneticPr fontId="40" type="noConversion"/>
  </si>
  <si>
    <t>天然气</t>
    <phoneticPr fontId="40" type="noConversion"/>
  </si>
  <si>
    <t>石油</t>
    <phoneticPr fontId="40" type="noConversion"/>
  </si>
  <si>
    <t>一次能源总计</t>
    <phoneticPr fontId="40" type="noConversion"/>
  </si>
  <si>
    <t>二氧化碳</t>
    <phoneticPr fontId="40" type="noConversion"/>
  </si>
  <si>
    <t>甲烷</t>
    <phoneticPr fontId="40" type="noConversion"/>
  </si>
  <si>
    <t>氧化二氮</t>
    <phoneticPr fontId="40" type="noConversion"/>
  </si>
  <si>
    <t>GHG合计</t>
    <phoneticPr fontId="40" type="noConversion"/>
  </si>
  <si>
    <t>Coal</t>
    <phoneticPr fontId="33" type="noConversion"/>
  </si>
  <si>
    <t>国产气田产LNG</t>
    <phoneticPr fontId="40" type="noConversion"/>
  </si>
  <si>
    <t>管输气产LNG</t>
    <phoneticPr fontId="40" type="noConversion"/>
  </si>
  <si>
    <t>进口LNG</t>
    <phoneticPr fontId="40" type="noConversion"/>
  </si>
  <si>
    <t>原煤</t>
    <phoneticPr fontId="33" type="noConversion"/>
  </si>
  <si>
    <r>
      <t>得到1</t>
    </r>
    <r>
      <rPr>
        <sz val="11"/>
        <color indexed="8"/>
        <rFont val="宋体"/>
        <family val="3"/>
        <charset val="134"/>
      </rPr>
      <t>MJ</t>
    </r>
    <phoneticPr fontId="37" type="noConversion"/>
  </si>
  <si>
    <t>供电效率</t>
    <phoneticPr fontId="26" type="noConversion"/>
  </si>
  <si>
    <t>Result for LNG 船用</t>
    <phoneticPr fontId="61" type="noConversion"/>
  </si>
  <si>
    <t>LNG船用结果</t>
  </si>
  <si>
    <t>Result for LNG 商用车用</t>
    <phoneticPr fontId="61" type="noConversion"/>
  </si>
  <si>
    <t xml:space="preserve">LNG商用车结果 </t>
  </si>
  <si>
    <t>主要参数输入表</t>
    <phoneticPr fontId="9" type="noConversion"/>
  </si>
  <si>
    <t>Description</t>
    <phoneticPr fontId="9" type="noConversion"/>
  </si>
  <si>
    <t>Sheet Name</t>
    <phoneticPr fontId="9" type="noConversion"/>
  </si>
  <si>
    <r>
      <t>E</t>
    </r>
    <r>
      <rPr>
        <sz val="11"/>
        <color indexed="8"/>
        <rFont val="宋体"/>
        <family val="3"/>
        <charset val="134"/>
      </rPr>
      <t>mail: ouxm@mail.tsinghua.edu.cn</t>
    </r>
    <phoneticPr fontId="9" type="noConversion"/>
  </si>
  <si>
    <t>博士</t>
    <phoneticPr fontId="9" type="noConversion"/>
  </si>
  <si>
    <t>欧训民</t>
    <phoneticPr fontId="9" type="noConversion"/>
  </si>
  <si>
    <t>中国车用能源研究中心</t>
    <phoneticPr fontId="9" type="noConversion"/>
  </si>
  <si>
    <t>清华大学</t>
    <phoneticPr fontId="9" type="noConversion"/>
  </si>
  <si>
    <t>开发人：</t>
    <phoneticPr fontId="9" type="noConversion"/>
  </si>
  <si>
    <t>LNG分析模块-2</t>
    <phoneticPr fontId="9" type="noConversion"/>
  </si>
  <si>
    <t>中海油</t>
    <phoneticPr fontId="9" type="noConversion"/>
  </si>
  <si>
    <t>for</t>
    <phoneticPr fontId="9" type="noConversion"/>
  </si>
  <si>
    <t>China energy LCA Model (TLCAM)</t>
    <phoneticPr fontId="9" type="noConversion"/>
  </si>
  <si>
    <r>
      <t>[1]</t>
    </r>
    <r>
      <rPr>
        <u/>
        <sz val="11"/>
        <color theme="10"/>
        <rFont val="宋体"/>
        <family val="3"/>
        <charset val="134"/>
        <scheme val="minor"/>
      </rPr>
      <t xml:space="preserve"> DNV的分析认为，采用液化天然气作为燃料，是一项耗资成本低、安全环保的最佳路径，LNG作为船用燃油的环境效益非常显著，它几乎可以100%减排硫氧化物、没有颗粒、减少85%-90%氮氧化物和15%-20% CO2的排放。</t>
    </r>
  </si>
  <si>
    <r>
      <t>根据柴油、</t>
    </r>
    <r>
      <rPr>
        <sz val="12"/>
        <color theme="1"/>
        <rFont val="Times New Roman"/>
        <family val="1"/>
      </rPr>
      <t>LNG</t>
    </r>
    <r>
      <rPr>
        <sz val="12"/>
        <color theme="1"/>
        <rFont val="宋体"/>
        <family val="3"/>
        <charset val="134"/>
      </rPr>
      <t>的低热值</t>
    </r>
    <r>
      <rPr>
        <sz val="12"/>
        <color theme="1"/>
        <rFont val="Times New Roman"/>
        <family val="1"/>
      </rPr>
      <t>(42.8</t>
    </r>
    <r>
      <rPr>
        <sz val="12"/>
        <color theme="1"/>
        <rFont val="宋体"/>
        <family val="3"/>
        <charset val="134"/>
      </rPr>
      <t>和</t>
    </r>
    <r>
      <rPr>
        <sz val="12"/>
        <color theme="1"/>
        <rFont val="Times New Roman"/>
        <family val="1"/>
      </rPr>
      <t>48.6MJ/kg)</t>
    </r>
    <r>
      <rPr>
        <sz val="12"/>
        <color theme="1"/>
        <rFont val="宋体"/>
        <family val="3"/>
        <charset val="134"/>
      </rPr>
      <t>和碳含量（</t>
    </r>
    <r>
      <rPr>
        <sz val="12"/>
        <color theme="1"/>
        <rFont val="Times New Roman"/>
        <family val="1"/>
      </rPr>
      <t>86.5%</t>
    </r>
    <r>
      <rPr>
        <sz val="12"/>
        <color theme="1"/>
        <rFont val="宋体"/>
        <family val="3"/>
        <charset val="134"/>
      </rPr>
      <t>和</t>
    </r>
    <r>
      <rPr>
        <sz val="12"/>
        <color theme="1"/>
        <rFont val="Times New Roman"/>
        <family val="1"/>
      </rPr>
      <t>75%</t>
    </r>
    <r>
      <rPr>
        <sz val="12"/>
        <color theme="1"/>
        <rFont val="宋体"/>
        <family val="3"/>
        <charset val="134"/>
      </rPr>
      <t>），可以测算出，船用</t>
    </r>
    <r>
      <rPr>
        <sz val="12"/>
        <color theme="1"/>
        <rFont val="Times New Roman"/>
        <family val="1"/>
      </rPr>
      <t>LNG</t>
    </r>
    <r>
      <rPr>
        <sz val="12"/>
        <color theme="1"/>
        <rFont val="宋体"/>
        <family val="3"/>
        <charset val="134"/>
      </rPr>
      <t>相对柴油所额外耗能比例为</t>
    </r>
    <r>
      <rPr>
        <sz val="12"/>
        <color theme="1"/>
        <rFont val="Times New Roman"/>
        <family val="1"/>
      </rPr>
      <t>5-15%</t>
    </r>
    <r>
      <rPr>
        <sz val="12"/>
        <color theme="1"/>
        <rFont val="宋体"/>
        <family val="3"/>
        <charset val="134"/>
      </rPr>
      <t>。</t>
    </r>
    <phoneticPr fontId="61" type="noConversion"/>
  </si>
  <si>
    <t>文献结果下限</t>
    <phoneticPr fontId="61" type="noConversion"/>
  </si>
  <si>
    <r>
      <t>经过文献分析，一般认为</t>
    </r>
    <r>
      <rPr>
        <u/>
        <sz val="11"/>
        <color theme="10"/>
        <rFont val="宋体"/>
        <family val="3"/>
        <charset val="134"/>
        <scheme val="minor"/>
      </rPr>
      <t>LNG相对柴油，可以减排15%-20%[1]。</t>
    </r>
    <phoneticPr fontId="61" type="noConversion"/>
  </si>
  <si>
    <t>文献结果上限</t>
    <phoneticPr fontId="61" type="noConversion"/>
  </si>
  <si>
    <t>LNG</t>
    <phoneticPr fontId="61" type="noConversion"/>
  </si>
  <si>
    <t>柴油=100，则</t>
    <phoneticPr fontId="61" type="noConversion"/>
  </si>
  <si>
    <t>单位距离耗能比</t>
    <phoneticPr fontId="61" type="noConversion"/>
  </si>
  <si>
    <t>关键参数</t>
    <phoneticPr fontId="61" type="noConversion"/>
  </si>
  <si>
    <t>船用</t>
    <phoneticPr fontId="61" type="noConversion"/>
  </si>
  <si>
    <r>
      <t>引用来源：</t>
    </r>
    <r>
      <rPr>
        <u/>
        <sz val="11"/>
        <color theme="10"/>
        <rFont val="宋体"/>
        <family val="3"/>
        <charset val="134"/>
        <scheme val="minor"/>
      </rPr>
      <t>http://wenku.baidu.com/view/75a1357e168884868762d6ba.html###。</t>
    </r>
    <phoneticPr fontId="61" type="noConversion"/>
  </si>
  <si>
    <r>
      <t>如果根据华润项目提到重卡百公里耗柴油</t>
    </r>
    <r>
      <rPr>
        <sz val="12"/>
        <color theme="1"/>
        <rFont val="Times New Roman"/>
        <family val="1"/>
      </rPr>
      <t>38</t>
    </r>
    <r>
      <rPr>
        <sz val="12"/>
        <color theme="1"/>
        <rFont val="宋体"/>
        <family val="3"/>
        <charset val="134"/>
      </rPr>
      <t>升或者</t>
    </r>
    <r>
      <rPr>
        <sz val="12"/>
        <color theme="1"/>
        <rFont val="Times New Roman"/>
        <family val="1"/>
      </rPr>
      <t>LNG 50</t>
    </r>
    <r>
      <rPr>
        <sz val="12"/>
        <color theme="1"/>
        <rFont val="宋体"/>
        <family val="3"/>
        <charset val="134"/>
      </rPr>
      <t>升，可以得知油气替代比为</t>
    </r>
    <r>
      <rPr>
        <sz val="12"/>
        <color theme="1"/>
        <rFont val="Times New Roman"/>
        <family val="1"/>
      </rPr>
      <t>78: 100</t>
    </r>
    <r>
      <rPr>
        <sz val="12"/>
        <color theme="1"/>
        <rFont val="宋体"/>
        <family val="3"/>
        <charset val="134"/>
      </rPr>
      <t>（净能值）。</t>
    </r>
    <phoneticPr fontId="61" type="noConversion"/>
  </si>
  <si>
    <t>文献结果下限</t>
    <phoneticPr fontId="61" type="noConversion"/>
  </si>
  <si>
    <r>
      <t>根据（</t>
    </r>
    <r>
      <rPr>
        <sz val="12"/>
        <color rgb="FFFF0000"/>
        <rFont val="宋体"/>
        <family val="3"/>
        <charset val="134"/>
        <scheme val="minor"/>
      </rPr>
      <t>汤湘华</t>
    </r>
    <r>
      <rPr>
        <sz val="12"/>
        <color rgb="FFFF0000"/>
        <rFont val="Times New Roman"/>
        <family val="1"/>
      </rPr>
      <t xml:space="preserve"> </t>
    </r>
    <r>
      <rPr>
        <sz val="12"/>
        <color rgb="FFFF0000"/>
        <rFont val="宋体"/>
        <family val="3"/>
        <charset val="134"/>
        <scheme val="minor"/>
      </rPr>
      <t>等）</t>
    </r>
    <r>
      <rPr>
        <sz val="12"/>
        <color rgb="FFFF0000"/>
        <rFont val="Times New Roman"/>
        <family val="1"/>
      </rPr>
      <t>2011</t>
    </r>
    <r>
      <rPr>
        <sz val="12"/>
        <color rgb="FFFF0000"/>
        <rFont val="宋体"/>
        <family val="3"/>
        <charset val="134"/>
        <scheme val="minor"/>
      </rPr>
      <t>阐述有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3"/>
        <charset val="134"/>
        <scheme val="minor"/>
      </rPr>
      <t>立方</t>
    </r>
    <r>
      <rPr>
        <sz val="12"/>
        <color theme="1"/>
        <rFont val="Times New Roman"/>
        <family val="1"/>
      </rPr>
      <t>LNG</t>
    </r>
    <r>
      <rPr>
        <sz val="12"/>
        <color theme="1"/>
        <rFont val="宋体"/>
        <family val="3"/>
        <charset val="134"/>
        <scheme val="minor"/>
      </rPr>
      <t>与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3"/>
        <charset val="134"/>
        <scheme val="minor"/>
      </rPr>
      <t>吨柴油的对应关系，可以得知油气替代比为</t>
    </r>
    <r>
      <rPr>
        <sz val="12"/>
        <color theme="1"/>
        <rFont val="Times New Roman"/>
        <family val="1"/>
      </rPr>
      <t>90: 100</t>
    </r>
    <r>
      <rPr>
        <sz val="12"/>
        <color theme="1"/>
        <rFont val="宋体"/>
        <family val="3"/>
        <charset val="134"/>
        <scheme val="minor"/>
      </rPr>
      <t>（净能值）。</t>
    </r>
    <phoneticPr fontId="61" type="noConversion"/>
  </si>
  <si>
    <t>文献结果上限</t>
    <phoneticPr fontId="61" type="noConversion"/>
  </si>
  <si>
    <t>商用车</t>
    <phoneticPr fontId="61" type="noConversion"/>
  </si>
  <si>
    <t>Concave2004 P 19:汽油1.9MJ/km;柴油1.72MJ/km,得到能柴汽油耗比为0.91</t>
    <phoneticPr fontId="61" type="noConversion"/>
  </si>
  <si>
    <t>ouxm</t>
    <phoneticPr fontId="61" type="noConversion"/>
  </si>
  <si>
    <t>LNG：</t>
    <phoneticPr fontId="61" type="noConversion"/>
  </si>
  <si>
    <t>如汽油=100</t>
    <phoneticPr fontId="61" type="noConversion"/>
  </si>
  <si>
    <t>王霞2011：公交车32标方天然气（LNG状态）对应28L柴油，得到耗能比为1.11</t>
    <phoneticPr fontId="61" type="noConversion"/>
  </si>
  <si>
    <t>ouxm:</t>
  </si>
  <si>
    <t>汽油=100，则</t>
    <phoneticPr fontId="61" type="noConversion"/>
  </si>
  <si>
    <t>如柴油=100</t>
    <phoneticPr fontId="61" type="noConversion"/>
  </si>
  <si>
    <t>费托生物柴油汽车</t>
    <phoneticPr fontId="61" type="noConversion"/>
  </si>
  <si>
    <t>小桐子生物柴油汽车</t>
    <phoneticPr fontId="61" type="noConversion"/>
  </si>
  <si>
    <t>废弃油生物柴油汽车</t>
    <phoneticPr fontId="61" type="noConversion"/>
  </si>
  <si>
    <t>草本二代生物燃料汽车</t>
    <phoneticPr fontId="61" type="noConversion"/>
  </si>
  <si>
    <t>木本二代生物燃料汽车</t>
    <phoneticPr fontId="61" type="noConversion"/>
  </si>
  <si>
    <t>甜高粱乙醇汽车</t>
    <phoneticPr fontId="61" type="noConversion"/>
  </si>
  <si>
    <t>木薯乙醇汽车</t>
    <phoneticPr fontId="61" type="noConversion"/>
  </si>
  <si>
    <t>玉米乙醇汽车</t>
    <phoneticPr fontId="61" type="noConversion"/>
  </si>
  <si>
    <t>纯电动汽车（煤电IGCC+CCS）</t>
    <phoneticPr fontId="61" type="noConversion"/>
  </si>
  <si>
    <t>纯电动汽车（生物质电）</t>
    <phoneticPr fontId="61" type="noConversion"/>
  </si>
  <si>
    <t>纯电动汽车（大水电）</t>
    <phoneticPr fontId="61" type="noConversion"/>
  </si>
  <si>
    <t>纯电动汽车（核电）</t>
    <phoneticPr fontId="61" type="noConversion"/>
  </si>
  <si>
    <t>纯电动汽车（气电）</t>
    <phoneticPr fontId="61" type="noConversion"/>
  </si>
  <si>
    <t>纯电动汽车（油电）</t>
    <phoneticPr fontId="61" type="noConversion"/>
  </si>
  <si>
    <t>纯电动汽车（煤电）</t>
    <phoneticPr fontId="61" type="noConversion"/>
  </si>
  <si>
    <t>纯电动汽车（网电）</t>
    <phoneticPr fontId="61" type="noConversion"/>
  </si>
  <si>
    <t>ICTL（煤基+CCS）汽车</t>
    <phoneticPr fontId="61" type="noConversion"/>
  </si>
  <si>
    <t>CTL（煤基+CCS）汽车</t>
    <phoneticPr fontId="61" type="noConversion"/>
  </si>
  <si>
    <t>DME（煤基+CCS）汽车</t>
    <phoneticPr fontId="61" type="noConversion"/>
  </si>
  <si>
    <t>甲醇（煤基+CCS）汽车</t>
    <phoneticPr fontId="61" type="noConversion"/>
  </si>
  <si>
    <t>ICTL（煤基）汽车</t>
    <phoneticPr fontId="61" type="noConversion"/>
  </si>
  <si>
    <t>CTL（煤基）汽车</t>
    <phoneticPr fontId="61" type="noConversion"/>
  </si>
  <si>
    <t>DME（煤基）汽车</t>
    <phoneticPr fontId="61" type="noConversion"/>
  </si>
  <si>
    <t>甲醇（煤基）汽车</t>
    <phoneticPr fontId="61" type="noConversion"/>
  </si>
  <si>
    <t>GTL车</t>
    <phoneticPr fontId="61" type="noConversion"/>
  </si>
  <si>
    <t>LNG车(管道气液化)</t>
    <phoneticPr fontId="61" type="noConversion"/>
  </si>
  <si>
    <t>LNG车(井口液化)</t>
    <phoneticPr fontId="61" type="noConversion"/>
  </si>
  <si>
    <t>LNG车(海外进口)</t>
    <phoneticPr fontId="61" type="noConversion"/>
  </si>
  <si>
    <t>CNG车</t>
    <phoneticPr fontId="61" type="noConversion"/>
  </si>
  <si>
    <t>LPG车</t>
    <phoneticPr fontId="61" type="noConversion"/>
  </si>
  <si>
    <t>柴油车</t>
    <phoneticPr fontId="61" type="noConversion"/>
  </si>
  <si>
    <t>汽油车</t>
    <phoneticPr fontId="61" type="noConversion"/>
  </si>
  <si>
    <t>全面比较</t>
    <phoneticPr fontId="61" type="noConversion"/>
  </si>
  <si>
    <t>减碳</t>
    <phoneticPr fontId="61" type="noConversion"/>
  </si>
  <si>
    <t>节能</t>
    <phoneticPr fontId="61" type="noConversion"/>
  </si>
  <si>
    <t>气体燃料</t>
    <phoneticPr fontId="61" type="noConversion"/>
  </si>
  <si>
    <t>全面比较</t>
    <phoneticPr fontId="61" type="noConversion"/>
  </si>
  <si>
    <t>-</t>
    <phoneticPr fontId="61" type="noConversion"/>
  </si>
  <si>
    <t>柴油车</t>
    <phoneticPr fontId="61" type="noConversion"/>
  </si>
  <si>
    <t>柴油=100</t>
    <phoneticPr fontId="61" type="noConversion"/>
  </si>
  <si>
    <r>
      <t>g CO</t>
    </r>
    <r>
      <rPr>
        <vertAlign val="subscript"/>
        <sz val="11"/>
        <color theme="1"/>
        <rFont val="宋体"/>
        <family val="3"/>
        <charset val="134"/>
        <scheme val="minor"/>
      </rPr>
      <t>2,e</t>
    </r>
    <r>
      <rPr>
        <sz val="11"/>
        <color theme="1"/>
        <rFont val="宋体"/>
        <family val="3"/>
        <charset val="134"/>
        <scheme val="minor"/>
      </rPr>
      <t>/MJ</t>
    </r>
    <phoneticPr fontId="61" type="noConversion"/>
  </si>
  <si>
    <t>减碳比例</t>
    <phoneticPr fontId="61" type="noConversion"/>
  </si>
  <si>
    <t>单位距离能耗</t>
    <phoneticPr fontId="61" type="noConversion"/>
  </si>
  <si>
    <t>WTW GHG</t>
    <phoneticPr fontId="61" type="noConversion"/>
  </si>
  <si>
    <t>文献结果下限</t>
    <phoneticPr fontId="61" type="noConversion"/>
  </si>
  <si>
    <t>文献结果上限</t>
    <phoneticPr fontId="61" type="noConversion"/>
  </si>
  <si>
    <t>柴油船</t>
    <phoneticPr fontId="61" type="noConversion"/>
  </si>
  <si>
    <t>LNG船（管道气液化）</t>
    <phoneticPr fontId="61" type="noConversion"/>
  </si>
  <si>
    <t>LNG船（进口液化）</t>
    <phoneticPr fontId="61" type="noConversion"/>
  </si>
  <si>
    <t>LNG船（海外进口）</t>
    <phoneticPr fontId="61" type="noConversion"/>
  </si>
  <si>
    <t>柴油=100</t>
    <phoneticPr fontId="61" type="noConversion"/>
  </si>
  <si>
    <r>
      <t>g CO</t>
    </r>
    <r>
      <rPr>
        <vertAlign val="subscript"/>
        <sz val="11"/>
        <color theme="1"/>
        <rFont val="宋体"/>
        <family val="3"/>
        <charset val="134"/>
        <scheme val="minor"/>
      </rPr>
      <t>2,e</t>
    </r>
    <r>
      <rPr>
        <sz val="11"/>
        <color theme="1"/>
        <rFont val="宋体"/>
        <family val="3"/>
        <charset val="134"/>
        <scheme val="minor"/>
      </rPr>
      <t>/MJ</t>
    </r>
    <phoneticPr fontId="61" type="noConversion"/>
  </si>
  <si>
    <t>减碳比例</t>
    <phoneticPr fontId="61" type="noConversion"/>
  </si>
  <si>
    <t>单位距离能耗</t>
    <phoneticPr fontId="61" type="noConversion"/>
  </si>
  <si>
    <t>WTW GHG</t>
    <phoneticPr fontId="61" type="noConversion"/>
  </si>
  <si>
    <t>文献结果下限</t>
    <phoneticPr fontId="61" type="noConversion"/>
  </si>
  <si>
    <t>文献结果上限</t>
    <phoneticPr fontId="61" type="noConversion"/>
  </si>
  <si>
    <t>排放</t>
    <phoneticPr fontId="61" type="noConversion"/>
  </si>
  <si>
    <t>能耗</t>
    <phoneticPr fontId="61" type="noConversion"/>
  </si>
  <si>
    <t>相对柴油车</t>
    <phoneticPr fontId="61" type="noConversion"/>
  </si>
  <si>
    <t>相对汽油车</t>
    <phoneticPr fontId="61" type="noConversion"/>
  </si>
  <si>
    <t>FCV-Hydrogen</t>
  </si>
  <si>
    <t>SI PHEV-ICE mode-gasoline</t>
    <phoneticPr fontId="61" type="noConversion"/>
  </si>
  <si>
    <t>SI PHEV-Electricity</t>
  </si>
  <si>
    <t>EV-Electricity</t>
  </si>
  <si>
    <t>CI HEV-Liquid fuel-diesel</t>
    <phoneticPr fontId="61" type="noConversion"/>
  </si>
  <si>
    <t>CI ICE-Biodiesel</t>
  </si>
  <si>
    <t>CI ICE-DME</t>
  </si>
  <si>
    <t>CI ICE-Diesel</t>
  </si>
  <si>
    <t>Energy save 25%</t>
  </si>
  <si>
    <t>SI HEV-Hydrogen</t>
  </si>
  <si>
    <t>Oil save 30%</t>
  </si>
  <si>
    <t>SI HEV-Liquid fuel-gasoline</t>
    <phoneticPr fontId="61" type="noConversion"/>
  </si>
  <si>
    <t>SI ICE-Hydrogen</t>
  </si>
  <si>
    <t>FFV-Ethanol</t>
  </si>
  <si>
    <t>SI ICE-Ethanol</t>
  </si>
  <si>
    <t>FFV-Methanol</t>
  </si>
  <si>
    <t>SI ICE-Methanol</t>
  </si>
  <si>
    <t>SI ICE-LPG</t>
  </si>
  <si>
    <t>SI ICE-LNG</t>
  </si>
  <si>
    <t>SI ICE-CNG</t>
  </si>
  <si>
    <t>SI ICE-Gasoline</t>
  </si>
  <si>
    <t>MJ/100kmfor gasoline vehicle</t>
    <phoneticPr fontId="61" type="noConversion"/>
  </si>
  <si>
    <t xml:space="preserve">energy consumption （liter/m3/kwh）for 100km </t>
    <phoneticPr fontId="61" type="noConversion"/>
  </si>
  <si>
    <t xml:space="preserve">energy consumption （kg）for 100km </t>
    <phoneticPr fontId="61" type="noConversion"/>
  </si>
  <si>
    <t>Density: kg/liter or kg/m3</t>
    <phoneticPr fontId="61" type="noConversion"/>
  </si>
  <si>
    <t>LHV:MJ/kg</t>
    <phoneticPr fontId="61" type="noConversion"/>
  </si>
  <si>
    <t>Energy consumption per unit distance</t>
  </si>
  <si>
    <t>FCV-Hydrogen from coal (CCS)</t>
  </si>
  <si>
    <t>FCV-Hydrogen from nuclear</t>
  </si>
  <si>
    <t>FCV-Hydrogen from biomass</t>
  </si>
  <si>
    <t>FCV-Hydrogen from water electrolysis</t>
  </si>
  <si>
    <t>FCV-Hydrogen from coal</t>
  </si>
  <si>
    <t>Hydrogen on site production (liquid)</t>
  </si>
  <si>
    <t>FCV-Hydrogen from natural gas</t>
  </si>
  <si>
    <t>Hydrogen centralized production (gas)</t>
  </si>
  <si>
    <t>gas</t>
    <phoneticPr fontId="61" type="noConversion"/>
  </si>
  <si>
    <t>petroleum</t>
    <phoneticPr fontId="61" type="noConversion"/>
  </si>
  <si>
    <t>coal</t>
    <phoneticPr fontId="61" type="noConversion"/>
  </si>
  <si>
    <t>Output/Input</t>
  </si>
  <si>
    <t>65% coal, 30% hydro, 5% nuclear</t>
  </si>
  <si>
    <t>BEV-Grid power (South)</t>
  </si>
  <si>
    <t>88% coal, 7% hydro, 5% nuclear</t>
  </si>
  <si>
    <t>BEV-Grid power (East)</t>
  </si>
  <si>
    <t>74% coal, 26% hydro</t>
  </si>
  <si>
    <t>BEV-Grid power (Central)</t>
  </si>
  <si>
    <t>77% coal, 22% hydro, 1% wind</t>
  </si>
  <si>
    <t>BEV-Grid power (Northwest)</t>
  </si>
  <si>
    <t>98% coal, 1% hydro, 1% wind</t>
  </si>
  <si>
    <t>BEV-Grid power (North)</t>
  </si>
  <si>
    <t>95% coal, 4% hydro, 1% wind</t>
  </si>
  <si>
    <t>BEV-Grid power (Northeast)</t>
  </si>
  <si>
    <t>Same with Grid</t>
  </si>
  <si>
    <t>50km</t>
    <phoneticPr fontId="61" type="noConversion"/>
  </si>
  <si>
    <t>Coal extraction and washing (97%,95%)</t>
  </si>
  <si>
    <t>BEV-Coal power(IGCC+CCS)</t>
  </si>
  <si>
    <t>BEV-Biopower</t>
  </si>
  <si>
    <t>BEV-Large Hydro power</t>
  </si>
  <si>
    <t>BEV-Nuclear power</t>
  </si>
  <si>
    <t>BEV-Gas power</t>
  </si>
  <si>
    <t>BEV-Oil power</t>
  </si>
  <si>
    <t>BEV-Coal power</t>
  </si>
  <si>
    <t>BEV-Grid power (22.5 KWh/100km)</t>
  </si>
  <si>
    <t>BEV-Grid power (16 KWh/100km)</t>
  </si>
  <si>
    <t>BEV-Grid power (14 KWh/100km)</t>
  </si>
  <si>
    <t>CI ICE-BTL (F-T) biodiesel</t>
  </si>
  <si>
    <t>CI ICE-Jatropha biodiesel</t>
  </si>
  <si>
    <t>CI ICE-Waste oil biodiesel</t>
  </si>
  <si>
    <t>SI ICE-Herbaceous ethanol</t>
  </si>
  <si>
    <t>SI ICE-Woody ethanol</t>
  </si>
  <si>
    <t>SI ICE-Sweet sorghum ethanol</t>
  </si>
  <si>
    <t>SI ICE-Cassava ethanol</t>
  </si>
  <si>
    <t>SI ICE-Corn ethanol</t>
  </si>
  <si>
    <t>Same with diesel</t>
  </si>
  <si>
    <t>50km</t>
    <phoneticPr fontId="61" type="noConversion"/>
  </si>
  <si>
    <t>Coal extraction and washing(97%,95%)</t>
  </si>
  <si>
    <t>CI ICE-ICTL(CCS)</t>
  </si>
  <si>
    <t>CI ICE-CTL(CCS)</t>
  </si>
  <si>
    <t>SI ICE-DME from coal (CCS)</t>
  </si>
  <si>
    <t>Same with gasoline</t>
  </si>
  <si>
    <t>50km</t>
    <phoneticPr fontId="61" type="noConversion"/>
  </si>
  <si>
    <t>SI ICE-Methanol from coal (CCS)</t>
  </si>
  <si>
    <t>50km</t>
    <phoneticPr fontId="61" type="noConversion"/>
  </si>
  <si>
    <t>CI ICE-ICTL</t>
  </si>
  <si>
    <t>50km</t>
    <phoneticPr fontId="61" type="noConversion"/>
  </si>
  <si>
    <t>CI ICE-CTL</t>
  </si>
  <si>
    <t>SI ICE-DME from coal</t>
  </si>
  <si>
    <t>SI ICE-Methanol from coal</t>
  </si>
  <si>
    <t>100km</t>
    <phoneticPr fontId="61" type="noConversion"/>
  </si>
  <si>
    <t>Extraction of natural gas(96%,94%)</t>
  </si>
  <si>
    <t>CI ICE-GTL</t>
  </si>
  <si>
    <t>SI ICE-LNG3</t>
    <phoneticPr fontId="61" type="noConversion"/>
  </si>
  <si>
    <t>SI ICE-LNG2</t>
    <phoneticPr fontId="61" type="noConversion"/>
  </si>
  <si>
    <t>Ocean transport (100km)</t>
  </si>
  <si>
    <t>6700km</t>
    <phoneticPr fontId="61" type="noConversion"/>
  </si>
  <si>
    <t>SI ICE-LNG1</t>
    <phoneticPr fontId="61" type="noConversion"/>
  </si>
  <si>
    <t>Use nearby</t>
  </si>
  <si>
    <t>300km</t>
    <phoneticPr fontId="61" type="noConversion"/>
  </si>
  <si>
    <t>Extraction of crude oil (93%,98%)</t>
  </si>
  <si>
    <t>SI ICE-Gasoline (4.5L/100km)</t>
  </si>
  <si>
    <t>SI ICE-Gasoline (5.9L/100km)</t>
  </si>
  <si>
    <t>SI ICE-Gasoline (5.7L/100km)</t>
  </si>
  <si>
    <t>SI ICE-Gasoline (8.2L/100km)</t>
  </si>
  <si>
    <t>SI ICE-Gasoline (7.7L/100km)</t>
  </si>
  <si>
    <t>SI ICE-Gasoline (8L/100km)</t>
  </si>
  <si>
    <t>(g CO2e/km)</t>
    <phoneticPr fontId="61" type="noConversion"/>
  </si>
  <si>
    <t>(MJ/km)</t>
    <phoneticPr fontId="61" type="noConversion"/>
  </si>
  <si>
    <t>MJ/km</t>
    <phoneticPr fontId="61" type="noConversion"/>
  </si>
  <si>
    <t>MJ/MJ</t>
    <phoneticPr fontId="61" type="noConversion"/>
  </si>
  <si>
    <t>%</t>
    <phoneticPr fontId="61" type="noConversion"/>
  </si>
  <si>
    <t>Compared with diesel vehicle</t>
  </si>
  <si>
    <t>Compared with gasoline vehicle</t>
  </si>
  <si>
    <t>Lower limit of error</t>
  </si>
  <si>
    <t>Upper limit of error</t>
  </si>
  <si>
    <t>WTW GHG emission</t>
  </si>
  <si>
    <t>WTW fossil energy use</t>
    <phoneticPr fontId="61" type="noConversion"/>
  </si>
  <si>
    <t>WTP-GHG</t>
  </si>
  <si>
    <t>Energy consumption per unit distance (compared with gasoline vehicle)</t>
  </si>
  <si>
    <t>WTW-GHG</t>
    <phoneticPr fontId="61" type="noConversion"/>
  </si>
  <si>
    <t>WTW-EC</t>
  </si>
  <si>
    <t>WTP efficiency</t>
  </si>
  <si>
    <t>Negative error</t>
  </si>
  <si>
    <t>Positive error</t>
  </si>
  <si>
    <t>Fuel logistics</t>
  </si>
  <si>
    <t>Conversion efficiency of Fuel production</t>
  </si>
  <si>
    <t>Feedstock transport</t>
  </si>
  <si>
    <t>Feedstock extraction efficiency</t>
  </si>
  <si>
    <t>Notes</t>
  </si>
  <si>
    <t>Fuel economy (L/100km) or (KWh/100km)</t>
  </si>
  <si>
    <t>项目级参数</t>
    <phoneticPr fontId="40" type="noConversion"/>
  </si>
  <si>
    <t>汽油与柴油路线</t>
    <phoneticPr fontId="40" type="noConversion"/>
  </si>
  <si>
    <t>原油运输效率</t>
    <phoneticPr fontId="38" type="noConversion"/>
  </si>
  <si>
    <t>炼制能效-柴油</t>
    <phoneticPr fontId="38" type="noConversion"/>
  </si>
  <si>
    <t>炼制能效-汽油</t>
    <phoneticPr fontId="38" type="noConversion"/>
  </si>
  <si>
    <t>用能设备参数</t>
    <phoneticPr fontId="40" type="noConversion"/>
  </si>
  <si>
    <t>SH比例情况</t>
    <phoneticPr fontId="33" type="noConversion"/>
  </si>
  <si>
    <t>汽油车</t>
    <phoneticPr fontId="60" type="noConversion"/>
  </si>
  <si>
    <r>
      <t>C</t>
    </r>
    <r>
      <rPr>
        <sz val="11"/>
        <color theme="1"/>
        <rFont val="宋体"/>
        <family val="2"/>
        <charset val="134"/>
        <scheme val="minor"/>
      </rPr>
      <t>NG车</t>
    </r>
    <phoneticPr fontId="60" type="noConversion"/>
  </si>
  <si>
    <r>
      <t>L</t>
    </r>
    <r>
      <rPr>
        <sz val="11"/>
        <color theme="1"/>
        <rFont val="宋体"/>
        <family val="2"/>
        <charset val="134"/>
        <scheme val="minor"/>
      </rPr>
      <t>NG车</t>
    </r>
    <phoneticPr fontId="60" type="noConversion"/>
  </si>
  <si>
    <r>
      <t>L</t>
    </r>
    <r>
      <rPr>
        <sz val="11"/>
        <color theme="1"/>
        <rFont val="宋体"/>
        <family val="2"/>
        <charset val="134"/>
        <scheme val="minor"/>
      </rPr>
      <t>PG车</t>
    </r>
    <phoneticPr fontId="60" type="noConversion"/>
  </si>
  <si>
    <t>甲醇车</t>
    <phoneticPr fontId="60" type="noConversion"/>
  </si>
  <si>
    <t>灵活燃料甲醇车</t>
    <phoneticPr fontId="60" type="noConversion"/>
  </si>
  <si>
    <t>乙醇车</t>
    <phoneticPr fontId="60" type="noConversion"/>
  </si>
  <si>
    <t>灵活燃料乙醇车</t>
    <phoneticPr fontId="60" type="noConversion"/>
  </si>
  <si>
    <t>氢能源车</t>
    <phoneticPr fontId="60" type="noConversion"/>
  </si>
  <si>
    <t>氢燃料电池汽车</t>
    <phoneticPr fontId="60" type="noConversion"/>
  </si>
  <si>
    <t>混合动力汽油车</t>
    <phoneticPr fontId="60" type="noConversion"/>
  </si>
  <si>
    <t>混合动力氢能源车</t>
    <phoneticPr fontId="60" type="noConversion"/>
  </si>
  <si>
    <t>柴油车</t>
    <phoneticPr fontId="60" type="noConversion"/>
  </si>
  <si>
    <r>
      <t>D</t>
    </r>
    <r>
      <rPr>
        <sz val="11"/>
        <color theme="1"/>
        <rFont val="宋体"/>
        <family val="2"/>
        <charset val="134"/>
        <scheme val="minor"/>
      </rPr>
      <t>ME车</t>
    </r>
    <phoneticPr fontId="60" type="noConversion"/>
  </si>
  <si>
    <t>生物柴油车</t>
    <phoneticPr fontId="60" type="noConversion"/>
  </si>
  <si>
    <t>混合动力柴油车</t>
    <phoneticPr fontId="60" type="noConversion"/>
  </si>
  <si>
    <t>纯电动车</t>
    <phoneticPr fontId="60" type="noConversion"/>
  </si>
  <si>
    <t>插电式混合动力车-纯电模式</t>
    <phoneticPr fontId="60" type="noConversion"/>
  </si>
  <si>
    <t>插电式混合动力车-汽油模式</t>
    <phoneticPr fontId="60" type="noConversion"/>
  </si>
  <si>
    <t>Fuel economy (Miles travelled per unit energy)</t>
    <phoneticPr fontId="60" type="noConversion"/>
  </si>
  <si>
    <r>
      <t>燃油经济性(单位能源行驶里程</t>
    </r>
    <r>
      <rPr>
        <sz val="11"/>
        <color theme="1"/>
        <rFont val="宋体"/>
        <family val="2"/>
        <charset val="134"/>
        <scheme val="minor"/>
      </rPr>
      <t>)比例</t>
    </r>
    <phoneticPr fontId="60" type="noConversion"/>
  </si>
  <si>
    <t>燃油经济性(单位里程所耗能源)比例</t>
    <phoneticPr fontId="60" type="noConversion"/>
  </si>
  <si>
    <t>100公里能源消耗（公斤）</t>
    <phoneticPr fontId="60" type="noConversion"/>
  </si>
  <si>
    <r>
      <t>1</t>
    </r>
    <r>
      <rPr>
        <sz val="11"/>
        <color theme="1"/>
        <rFont val="宋体"/>
        <family val="2"/>
        <charset val="134"/>
        <scheme val="minor"/>
      </rPr>
      <t>00公里能源消耗(升/方/°)</t>
    </r>
    <phoneticPr fontId="60" type="noConversion"/>
  </si>
  <si>
    <t>敏感性分析之工艺燃料变化</t>
    <phoneticPr fontId="41" type="noConversion"/>
  </si>
  <si>
    <t>敏感性分析之运输距离减半</t>
    <phoneticPr fontId="41" type="noConversion"/>
  </si>
  <si>
    <t>WTP efficiency%</t>
    <phoneticPr fontId="60" type="noConversion"/>
  </si>
  <si>
    <t>燃料经济性(升/100km;度/100km)</t>
    <phoneticPr fontId="60" type="noConversion"/>
  </si>
  <si>
    <t>注解</t>
    <phoneticPr fontId="60" type="noConversion"/>
  </si>
  <si>
    <t>原料开采效率</t>
    <phoneticPr fontId="60" type="noConversion"/>
  </si>
  <si>
    <t>原料运输</t>
    <phoneticPr fontId="60" type="noConversion"/>
  </si>
  <si>
    <t>燃料生产转化效率</t>
    <phoneticPr fontId="60" type="noConversion"/>
  </si>
  <si>
    <t>燃料物料</t>
    <phoneticPr fontId="60" type="noConversion"/>
  </si>
  <si>
    <t>从矿井到油泵效率</t>
    <phoneticPr fontId="61" type="noConversion"/>
  </si>
  <si>
    <t>误差上限</t>
    <phoneticPr fontId="60" type="noConversion"/>
  </si>
  <si>
    <t>误差下限</t>
    <phoneticPr fontId="60" type="noConversion"/>
  </si>
  <si>
    <t>正误差</t>
    <phoneticPr fontId="60" type="noConversion"/>
  </si>
  <si>
    <t>负误差</t>
    <phoneticPr fontId="60" type="noConversion"/>
  </si>
  <si>
    <t>内燃机汽车-汽油(8升/100km)</t>
    <phoneticPr fontId="60" type="noConversion"/>
  </si>
  <si>
    <t>内燃机汽车-柴油</t>
    <phoneticPr fontId="60" type="noConversion"/>
  </si>
  <si>
    <t>内燃机汽车-汽油(7.7升/101km)</t>
    <phoneticPr fontId="60" type="noConversion"/>
  </si>
  <si>
    <t>内燃机汽车-汽油(8.2升/102km)</t>
    <phoneticPr fontId="60" type="noConversion"/>
  </si>
  <si>
    <t>内燃机汽车-汽油(5.7升/103km)</t>
    <phoneticPr fontId="60" type="noConversion"/>
  </si>
  <si>
    <t>内燃机汽车-汽油(5.9升/104km)</t>
    <phoneticPr fontId="60" type="noConversion"/>
  </si>
  <si>
    <t>内燃机汽车-汽油(4.5升/105km)</t>
    <phoneticPr fontId="60" type="noConversion"/>
  </si>
  <si>
    <t>行业平均</t>
    <phoneticPr fontId="60" type="noConversion"/>
  </si>
  <si>
    <t>Cruze车型</t>
    <phoneticPr fontId="60" type="noConversion"/>
  </si>
  <si>
    <t>New sail车型</t>
    <phoneticPr fontId="60" type="noConversion"/>
  </si>
  <si>
    <t>2017年激进目标</t>
    <phoneticPr fontId="60" type="noConversion"/>
  </si>
  <si>
    <t>更激进目标</t>
    <phoneticPr fontId="60" type="noConversion"/>
  </si>
  <si>
    <t>内燃机汽车-压缩天然气</t>
    <phoneticPr fontId="60" type="noConversion"/>
  </si>
  <si>
    <t>内燃机汽车-液化天然气（路线1）</t>
    <phoneticPr fontId="60" type="noConversion"/>
  </si>
  <si>
    <t>内燃机汽车-天然气液化油</t>
    <phoneticPr fontId="60" type="noConversion"/>
  </si>
  <si>
    <t>内燃机汽车-液化天然气（路线2）</t>
  </si>
  <si>
    <t>内燃机汽车-液化天然气（路线3）</t>
  </si>
  <si>
    <t>内燃机汽车-煤炭液化油</t>
    <phoneticPr fontId="60" type="noConversion"/>
  </si>
  <si>
    <t>内燃机汽车-煤炭液化油（CCS）</t>
    <phoneticPr fontId="60" type="noConversion"/>
  </si>
  <si>
    <t>BEV-Grid power (20.3KWh/100km)</t>
    <phoneticPr fontId="60" type="noConversion"/>
  </si>
  <si>
    <t>纯电动汽车-网电(20.3KWh/100km)</t>
    <phoneticPr fontId="60" type="noConversion"/>
  </si>
  <si>
    <t>纯电动汽车-网电(14.0KWh/100km)</t>
    <phoneticPr fontId="60" type="noConversion"/>
  </si>
  <si>
    <t>纯电动汽车-网电(16.0KWh/100km)</t>
    <phoneticPr fontId="60" type="noConversion"/>
  </si>
  <si>
    <t>纯电动汽车-网电(22.5KWh/100km)</t>
    <phoneticPr fontId="60" type="noConversion"/>
  </si>
  <si>
    <t>纯电动汽车-煤电</t>
    <phoneticPr fontId="60" type="noConversion"/>
  </si>
  <si>
    <t>纯电动汽车-油电</t>
    <phoneticPr fontId="60" type="noConversion"/>
  </si>
  <si>
    <t>纯电动汽车-气电</t>
    <phoneticPr fontId="60" type="noConversion"/>
  </si>
  <si>
    <t>纯电动汽车-核电</t>
    <phoneticPr fontId="60" type="noConversion"/>
  </si>
  <si>
    <t>纯电动汽车-大水电</t>
    <phoneticPr fontId="60" type="noConversion"/>
  </si>
  <si>
    <t>纯电动汽车-生物质发电</t>
    <phoneticPr fontId="60" type="noConversion"/>
  </si>
  <si>
    <t>电动汽车现状</t>
    <phoneticPr fontId="60" type="noConversion"/>
  </si>
  <si>
    <t>纯电动汽车-煤电(IGCC+CCS)</t>
    <phoneticPr fontId="60" type="noConversion"/>
  </si>
  <si>
    <t>纯电动汽车-网电(东北电网)</t>
    <phoneticPr fontId="60" type="noConversion"/>
  </si>
  <si>
    <t>纯电动汽车-网电(华北电网)</t>
    <phoneticPr fontId="60" type="noConversion"/>
  </si>
  <si>
    <t>纯电动汽车-网电(西北电网)</t>
    <phoneticPr fontId="60" type="noConversion"/>
  </si>
  <si>
    <t>纯电动汽车-网电(华中电网)</t>
    <phoneticPr fontId="60" type="noConversion"/>
  </si>
  <si>
    <t>纯电动汽车-网电(华东电网)</t>
    <phoneticPr fontId="60" type="noConversion"/>
  </si>
  <si>
    <t>纯电动汽车-网电(南方电网)</t>
    <phoneticPr fontId="60" type="noConversion"/>
  </si>
  <si>
    <t>WTW-EC (petrolum)</t>
    <phoneticPr fontId="60" type="noConversion"/>
  </si>
  <si>
    <t>WTW-EC (NG)</t>
    <phoneticPr fontId="60" type="noConversion"/>
  </si>
  <si>
    <t>WTW-EC (coal)</t>
    <phoneticPr fontId="60" type="noConversion"/>
  </si>
  <si>
    <t>WTW-CO2</t>
    <phoneticPr fontId="61" type="noConversion"/>
  </si>
  <si>
    <t>WTW-N2O</t>
    <phoneticPr fontId="61" type="noConversion"/>
  </si>
  <si>
    <t>WTW-CH4</t>
    <phoneticPr fontId="61" type="noConversion"/>
  </si>
  <si>
    <t>mg/MJ</t>
    <phoneticPr fontId="60" type="noConversion"/>
  </si>
  <si>
    <t>核算捕获耗能</t>
    <phoneticPr fontId="9" type="noConversion"/>
  </si>
  <si>
    <t>mg/MJ</t>
    <phoneticPr fontId="37" type="noConversion"/>
  </si>
  <si>
    <t>0.001mg/MJ</t>
    <phoneticPr fontId="37" type="noConversion"/>
  </si>
  <si>
    <t>煤基路线</t>
    <phoneticPr fontId="40" type="noConversion"/>
  </si>
  <si>
    <t>LCA-Coal</t>
  </si>
  <si>
    <t>煤炭</t>
  </si>
  <si>
    <t>LCA-NG</t>
  </si>
  <si>
    <t>天然气</t>
  </si>
  <si>
    <t>LCA-Oil</t>
  </si>
  <si>
    <t>石油</t>
  </si>
  <si>
    <t>LCA-PE</t>
  </si>
  <si>
    <t>一次能源总计</t>
  </si>
  <si>
    <t>LCA-CO2</t>
  </si>
  <si>
    <t>二氧化碳</t>
  </si>
  <si>
    <t>LCA-CH4</t>
  </si>
  <si>
    <t>甲烷</t>
  </si>
  <si>
    <t>LCA-N2O</t>
  </si>
  <si>
    <t>氧化二氮</t>
  </si>
  <si>
    <t>LCA-GHG</t>
  </si>
  <si>
    <t>GHG合计</t>
  </si>
  <si>
    <t>煤基路线</t>
    <phoneticPr fontId="40" type="noConversion"/>
  </si>
  <si>
    <t>合计</t>
  </si>
  <si>
    <t>合计</t>
    <phoneticPr fontId="40" type="noConversion"/>
  </si>
  <si>
    <t>CTL</t>
    <phoneticPr fontId="40" type="noConversion"/>
  </si>
  <si>
    <t>CTL+CCS</t>
    <phoneticPr fontId="40" type="noConversion"/>
  </si>
  <si>
    <t>生物燃料路线</t>
    <phoneticPr fontId="40" type="noConversion"/>
  </si>
  <si>
    <t>原煤开采处理</t>
  </si>
  <si>
    <t>煤炭运输</t>
  </si>
  <si>
    <t>CTL制备</t>
  </si>
  <si>
    <t>CTL输配</t>
  </si>
  <si>
    <t>CTL燃烧</t>
  </si>
  <si>
    <t>玉米燃料乙醇</t>
    <phoneticPr fontId="40" type="noConversion"/>
  </si>
  <si>
    <t>小桐子制取生物柴油</t>
    <phoneticPr fontId="40" type="noConversion"/>
  </si>
  <si>
    <t>原料种植</t>
    <phoneticPr fontId="40" type="noConversion"/>
  </si>
  <si>
    <t>原料运输</t>
    <phoneticPr fontId="40" type="noConversion"/>
  </si>
  <si>
    <t>燃料制取</t>
    <phoneticPr fontId="40" type="noConversion"/>
  </si>
  <si>
    <t>燃料输配</t>
    <phoneticPr fontId="40" type="noConversion"/>
  </si>
  <si>
    <t>燃料使用</t>
    <phoneticPr fontId="40" type="noConversion"/>
  </si>
  <si>
    <t>合计</t>
    <phoneticPr fontId="40" type="noConversion"/>
  </si>
  <si>
    <t>合计</t>
    <phoneticPr fontId="40" type="noConversion"/>
  </si>
  <si>
    <t>原料开采处理</t>
    <phoneticPr fontId="26" type="noConversion"/>
  </si>
  <si>
    <t>原料运输</t>
    <phoneticPr fontId="26" type="noConversion"/>
  </si>
  <si>
    <t>燃料制备与燃烧</t>
    <phoneticPr fontId="26" type="noConversion"/>
  </si>
  <si>
    <t>煤电分阶段</t>
    <phoneticPr fontId="40" type="noConversion"/>
  </si>
  <si>
    <t>气电分阶段</t>
    <phoneticPr fontId="40" type="noConversion"/>
  </si>
  <si>
    <t>油电分阶段</t>
    <phoneticPr fontId="40" type="noConversion"/>
  </si>
  <si>
    <t>网电分阶段</t>
    <phoneticPr fontId="40" type="noConversion"/>
  </si>
  <si>
    <t>合计</t>
    <phoneticPr fontId="26" type="noConversion"/>
  </si>
  <si>
    <t>汽油车百公里耗油</t>
    <phoneticPr fontId="40" type="noConversion"/>
  </si>
  <si>
    <t>升</t>
    <phoneticPr fontId="40" type="noConversion"/>
  </si>
  <si>
    <t>液化天然气汽车相对汽油车单位距离耗能</t>
    <phoneticPr fontId="40" type="noConversion"/>
  </si>
  <si>
    <t>电动汽车的用能效率是汽油车的倍数</t>
    <phoneticPr fontId="40" type="noConversion"/>
  </si>
  <si>
    <t>乙醇车百公里耗能相对汽油车单位距离耗能</t>
    <phoneticPr fontId="40" type="noConversion"/>
  </si>
  <si>
    <t>生物柴油车百公里耗能相对柴油车单位距离耗能</t>
    <phoneticPr fontId="40" type="noConversion"/>
  </si>
  <si>
    <t>柴油车为100</t>
    <phoneticPr fontId="40" type="noConversion"/>
  </si>
  <si>
    <t>汽油车为100</t>
    <phoneticPr fontId="40" type="noConversion"/>
  </si>
  <si>
    <t>柴油车百公里耗能为汽油车的比例</t>
    <phoneticPr fontId="40" type="noConversion"/>
  </si>
  <si>
    <t>压缩天然气汽车相对汽油车单位距离耗能</t>
    <phoneticPr fontId="40" type="noConversion"/>
  </si>
  <si>
    <r>
      <t>1</t>
    </r>
    <r>
      <rPr>
        <sz val="11"/>
        <color theme="1"/>
        <rFont val="宋体"/>
        <family val="2"/>
        <charset val="134"/>
        <scheme val="minor"/>
      </rPr>
      <t>00公里能源消耗(升/方/度)</t>
    </r>
    <phoneticPr fontId="60" type="noConversion"/>
  </si>
  <si>
    <r>
      <t>M</t>
    </r>
    <r>
      <rPr>
        <sz val="11"/>
        <color theme="1"/>
        <rFont val="宋体"/>
        <family val="3"/>
        <charset val="134"/>
        <scheme val="minor"/>
      </rPr>
      <t>J/km</t>
    </r>
    <phoneticPr fontId="60" type="noConversion"/>
  </si>
  <si>
    <t>折算直接能耗</t>
    <phoneticPr fontId="60" type="noConversion"/>
  </si>
  <si>
    <r>
      <t>MJ/</t>
    </r>
    <r>
      <rPr>
        <sz val="11"/>
        <color theme="1"/>
        <rFont val="宋体"/>
        <family val="3"/>
        <charset val="134"/>
        <scheme val="minor"/>
      </rPr>
      <t>km</t>
    </r>
    <phoneticPr fontId="40" type="noConversion"/>
  </si>
  <si>
    <r>
      <t>MJ/</t>
    </r>
    <r>
      <rPr>
        <sz val="11"/>
        <color theme="1"/>
        <rFont val="宋体"/>
        <family val="3"/>
        <charset val="134"/>
        <scheme val="minor"/>
      </rPr>
      <t>km</t>
    </r>
    <phoneticPr fontId="40" type="noConversion"/>
  </si>
  <si>
    <r>
      <t>g/</t>
    </r>
    <r>
      <rPr>
        <sz val="11"/>
        <color theme="1"/>
        <rFont val="宋体"/>
        <family val="3"/>
        <charset val="134"/>
        <scheme val="minor"/>
      </rPr>
      <t>km</t>
    </r>
    <phoneticPr fontId="40" type="noConversion"/>
  </si>
  <si>
    <r>
      <t>g/</t>
    </r>
    <r>
      <rPr>
        <sz val="11"/>
        <color theme="1"/>
        <rFont val="宋体"/>
        <family val="3"/>
        <charset val="134"/>
        <scheme val="minor"/>
      </rPr>
      <t>km</t>
    </r>
    <phoneticPr fontId="40" type="noConversion"/>
  </si>
  <si>
    <r>
      <t>mg/</t>
    </r>
    <r>
      <rPr>
        <sz val="11"/>
        <color theme="1"/>
        <rFont val="宋体"/>
        <family val="3"/>
        <charset val="134"/>
        <scheme val="minor"/>
      </rPr>
      <t>km</t>
    </r>
    <phoneticPr fontId="40" type="noConversion"/>
  </si>
  <si>
    <r>
      <t>L</t>
    </r>
    <r>
      <rPr>
        <sz val="11"/>
        <color theme="1"/>
        <rFont val="宋体"/>
        <family val="3"/>
        <charset val="134"/>
        <scheme val="minor"/>
      </rPr>
      <t>NG车</t>
    </r>
    <phoneticPr fontId="60" type="noConversion"/>
  </si>
  <si>
    <t>燃料输配</t>
    <phoneticPr fontId="60" type="noConversion"/>
  </si>
  <si>
    <t>使用</t>
    <phoneticPr fontId="60" type="noConversion"/>
  </si>
  <si>
    <t>一</t>
    <phoneticPr fontId="40" type="noConversion"/>
  </si>
  <si>
    <t>二</t>
    <phoneticPr fontId="40" type="noConversion"/>
  </si>
  <si>
    <t>三</t>
    <phoneticPr fontId="40" type="noConversion"/>
  </si>
  <si>
    <t>vehicle summary</t>
    <phoneticPr fontId="33" type="noConversion"/>
  </si>
  <si>
    <t>fuel summary</t>
  </si>
  <si>
    <t>关于燃料的总结</t>
    <phoneticPr fontId="33" type="noConversion"/>
  </si>
  <si>
    <t>NG-based (+1)</t>
    <phoneticPr fontId="33" type="noConversion"/>
  </si>
  <si>
    <t>敏感性分析之效率和工业燃料变化</t>
    <phoneticPr fontId="33" type="noConversion"/>
  </si>
  <si>
    <t>NG-based (+2)</t>
    <phoneticPr fontId="33" type="noConversion"/>
  </si>
  <si>
    <t>敏感性分析之运输距离变化</t>
    <phoneticPr fontId="33" type="noConversion"/>
  </si>
  <si>
    <t>Key Input (商用)</t>
  </si>
  <si>
    <t>境内部分</t>
    <phoneticPr fontId="60" type="noConversion"/>
  </si>
  <si>
    <t>总结</t>
    <phoneticPr fontId="60" type="noConversion"/>
  </si>
  <si>
    <t>原料运输</t>
    <phoneticPr fontId="60" type="noConversion"/>
  </si>
  <si>
    <t>燃料制取</t>
    <phoneticPr fontId="60" type="noConversion"/>
  </si>
  <si>
    <t>燃料输配</t>
    <phoneticPr fontId="60" type="noConversion"/>
  </si>
  <si>
    <t>燃料使用</t>
    <phoneticPr fontId="60" type="noConversion"/>
  </si>
  <si>
    <t>国产汽油</t>
    <phoneticPr fontId="60" type="noConversion"/>
  </si>
  <si>
    <t>国产柴油</t>
    <phoneticPr fontId="60" type="noConversion"/>
  </si>
  <si>
    <r>
      <t>国产C</t>
    </r>
    <r>
      <rPr>
        <sz val="11"/>
        <color theme="1"/>
        <rFont val="宋体"/>
        <family val="3"/>
        <charset val="134"/>
        <scheme val="minor"/>
      </rPr>
      <t>NG</t>
    </r>
    <phoneticPr fontId="60" type="noConversion"/>
  </si>
  <si>
    <t>原料开采/种植采收</t>
    <phoneticPr fontId="60" type="noConversion"/>
  </si>
  <si>
    <t>国内减排</t>
    <phoneticPr fontId="60" type="noConversion"/>
  </si>
  <si>
    <t>比例</t>
    <phoneticPr fontId="60" type="noConversion"/>
  </si>
  <si>
    <t>合计</t>
    <phoneticPr fontId="60" type="noConversion"/>
  </si>
  <si>
    <t>18-22</t>
    <phoneticPr fontId="60" type="noConversion"/>
  </si>
  <si>
    <t>日产聆风</t>
    <phoneticPr fontId="60" type="noConversion"/>
  </si>
  <si>
    <t>比亚迪</t>
    <phoneticPr fontId="60" type="noConversion"/>
  </si>
  <si>
    <t>汽油</t>
    <phoneticPr fontId="60" type="noConversion"/>
  </si>
  <si>
    <t>柴油</t>
    <phoneticPr fontId="60" type="noConversion"/>
  </si>
  <si>
    <t>原料开采</t>
    <phoneticPr fontId="60" type="noConversion"/>
  </si>
  <si>
    <t>原料运输</t>
    <phoneticPr fontId="60" type="noConversion"/>
  </si>
  <si>
    <t>燃料制备</t>
    <phoneticPr fontId="60" type="noConversion"/>
  </si>
  <si>
    <t>燃料运输</t>
    <phoneticPr fontId="60" type="noConversion"/>
  </si>
  <si>
    <t>燃料使用</t>
    <phoneticPr fontId="60" type="noConversion"/>
  </si>
  <si>
    <t>合计</t>
    <phoneticPr fontId="60" type="noConversion"/>
  </si>
  <si>
    <t>国产气田制LNG</t>
    <phoneticPr fontId="60" type="noConversion"/>
  </si>
  <si>
    <t>LNG车</t>
    <phoneticPr fontId="60" type="noConversion"/>
  </si>
  <si>
    <t>管输气制LNG</t>
    <phoneticPr fontId="60" type="noConversion"/>
  </si>
  <si>
    <t>NG开采处理阶段</t>
  </si>
  <si>
    <t>NG液化阶段</t>
  </si>
  <si>
    <t>LNG运输阶段</t>
  </si>
  <si>
    <t>玉米乙醇</t>
    <phoneticPr fontId="60" type="noConversion"/>
  </si>
  <si>
    <t>生物柴油</t>
    <phoneticPr fontId="60" type="noConversion"/>
  </si>
</sst>
</file>

<file path=xl/styles.xml><?xml version="1.0" encoding="utf-8"?>
<styleSheet xmlns="http://schemas.openxmlformats.org/spreadsheetml/2006/main">
  <numFmts count="16">
    <numFmt numFmtId="43" formatCode="_ * #,##0.00_ ;_ * \-#,##0.00_ ;_ * &quot;-&quot;??_ ;_ @_ "/>
    <numFmt numFmtId="176" formatCode="0.00_ "/>
    <numFmt numFmtId="177" formatCode="0_ "/>
    <numFmt numFmtId="178" formatCode="0.00_);[Red]\(0.00\)"/>
    <numFmt numFmtId="179" formatCode="0.00;[Red]0.00"/>
    <numFmt numFmtId="180" formatCode="0.0_ "/>
    <numFmt numFmtId="181" formatCode="0.000_ "/>
    <numFmt numFmtId="182" formatCode="0.0%"/>
    <numFmt numFmtId="183" formatCode="0.0"/>
    <numFmt numFmtId="184" formatCode="0.000"/>
    <numFmt numFmtId="185" formatCode="0.0000%"/>
    <numFmt numFmtId="186" formatCode="0.000_);[Red]\(0.000\)"/>
    <numFmt numFmtId="187" formatCode="0.0_);[Red]\(0.0\)"/>
    <numFmt numFmtId="188" formatCode="_(* #,##0.00_);_(* \(#,##0.00\);_(* &quot;-&quot;??_);_(@_)"/>
    <numFmt numFmtId="189" formatCode="0.00000000000000%"/>
    <numFmt numFmtId="190" formatCode="0.00000000000_ "/>
  </numFmts>
  <fonts count="7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10"/>
      <name val="宋体"/>
      <family val="3"/>
      <charset val="134"/>
    </font>
    <font>
      <sz val="10.5"/>
      <color indexed="8"/>
      <name val="Calibri"/>
      <family val="2"/>
    </font>
    <font>
      <sz val="10.5"/>
      <color indexed="8"/>
      <name val="Times New Roman"/>
      <family val="1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color indexed="10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9"/>
      <color indexed="8"/>
      <name val="Times New Roman"/>
      <family val="1"/>
    </font>
    <font>
      <sz val="11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sz val="10.5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vertAlign val="subscript"/>
      <sz val="11"/>
      <color indexed="8"/>
      <name val="Times New Roman"/>
      <family val="1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.5"/>
      <color theme="1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华文细黑"/>
      <family val="3"/>
      <charset val="134"/>
    </font>
    <font>
      <sz val="11"/>
      <color rgb="FFFF0000"/>
      <name val="华文细黑"/>
      <family val="3"/>
      <charset val="134"/>
    </font>
    <font>
      <sz val="10.5"/>
      <color rgb="FFFF0000"/>
      <name val="Times New Roman"/>
      <family val="1"/>
    </font>
    <font>
      <b/>
      <sz val="12"/>
      <color theme="1"/>
      <name val="Times New Roman"/>
      <family val="1"/>
    </font>
    <font>
      <sz val="10.5"/>
      <color rgb="FF000000"/>
      <name val="Times New Roman"/>
      <family val="1"/>
    </font>
    <font>
      <sz val="11"/>
      <color rgb="FF00B050"/>
      <name val="宋体"/>
      <family val="3"/>
      <charset val="134"/>
      <scheme val="minor"/>
    </font>
    <font>
      <b/>
      <sz val="24"/>
      <color rgb="FF79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u/>
      <sz val="7.5"/>
      <color indexed="12"/>
      <name val="Arial"/>
      <family val="2"/>
    </font>
    <font>
      <sz val="12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sz val="12"/>
      <color rgb="FFFF0000"/>
      <name val="Times New Roman"/>
      <family val="1"/>
    </font>
    <font>
      <vertAlign val="subscript"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2">
    <xf numFmtId="0" fontId="0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9" fontId="62" fillId="0" borderId="0" applyFont="0" applyFill="0" applyBorder="0" applyAlignment="0" applyProtection="0"/>
    <xf numFmtId="0" fontId="62" fillId="0" borderId="37"/>
    <xf numFmtId="0" fontId="63" fillId="0" borderId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188" fontId="62" fillId="0" borderId="0" applyFont="0" applyFill="0" applyBorder="0" applyAlignment="0" applyProtection="0"/>
    <xf numFmtId="43" fontId="63" fillId="0" borderId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760">
    <xf numFmtId="0" fontId="0" fillId="0" borderId="0" xfId="0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justify" vertical="center" wrapText="1"/>
    </xf>
    <xf numFmtId="0" fontId="8" fillId="2" borderId="0" xfId="0" applyFont="1" applyFill="1" applyAlignment="1">
      <alignment horizontal="justify" vertical="center" wrapText="1"/>
    </xf>
    <xf numFmtId="0" fontId="8" fillId="2" borderId="0" xfId="0" applyFont="1" applyFill="1" applyAlignment="1">
      <alignment horizontal="right" vertical="center" wrapText="1"/>
    </xf>
    <xf numFmtId="0" fontId="8" fillId="0" borderId="0" xfId="0" applyFont="1">
      <alignment vertical="center"/>
    </xf>
    <xf numFmtId="0" fontId="10" fillId="0" borderId="2" xfId="0" applyFont="1" applyBorder="1" applyAlignment="1">
      <alignment horizontal="justify" vertical="top" wrapText="1"/>
    </xf>
    <xf numFmtId="0" fontId="10" fillId="0" borderId="2" xfId="0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2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justify" vertical="center" wrapText="1"/>
    </xf>
    <xf numFmtId="0" fontId="8" fillId="2" borderId="2" xfId="0" applyFont="1" applyFill="1" applyBorder="1" applyAlignment="1">
      <alignment horizontal="right" vertical="center" wrapText="1"/>
    </xf>
    <xf numFmtId="0" fontId="14" fillId="0" borderId="0" xfId="0" applyFont="1" applyAlignment="1">
      <alignment horizontal="justify"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justify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justify" vertical="center" wrapText="1"/>
    </xf>
    <xf numFmtId="176" fontId="0" fillId="0" borderId="0" xfId="0" applyNumberFormat="1">
      <alignment vertical="center"/>
    </xf>
    <xf numFmtId="176" fontId="7" fillId="0" borderId="0" xfId="0" applyNumberFormat="1" applyFont="1" applyAlignment="1">
      <alignment horizontal="justify" vertical="center" wrapText="1"/>
    </xf>
    <xf numFmtId="0" fontId="8" fillId="2" borderId="0" xfId="0" applyFont="1" applyFill="1" applyBorder="1" applyAlignment="1">
      <alignment horizontal="justify" vertical="center" wrapText="1"/>
    </xf>
    <xf numFmtId="10" fontId="0" fillId="0" borderId="0" xfId="0" applyNumberFormat="1">
      <alignment vertical="center"/>
    </xf>
    <xf numFmtId="0" fontId="15" fillId="0" borderId="0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44" fillId="3" borderId="0" xfId="0" applyFont="1" applyFill="1">
      <alignment vertical="center"/>
    </xf>
    <xf numFmtId="0" fontId="44" fillId="3" borderId="0" xfId="0" applyFont="1" applyFill="1">
      <alignment vertical="center"/>
    </xf>
    <xf numFmtId="0" fontId="0" fillId="0" borderId="0" xfId="0" applyFont="1">
      <alignment vertical="center"/>
    </xf>
    <xf numFmtId="0" fontId="44" fillId="3" borderId="0" xfId="0" applyFont="1" applyFill="1">
      <alignment vertical="center"/>
    </xf>
    <xf numFmtId="0" fontId="8" fillId="2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justify" vertical="center"/>
    </xf>
    <xf numFmtId="0" fontId="0" fillId="0" borderId="0" xfId="0" applyFont="1">
      <alignment vertical="center"/>
    </xf>
    <xf numFmtId="0" fontId="0" fillId="0" borderId="5" xfId="0" applyBorder="1">
      <alignment vertical="center"/>
    </xf>
    <xf numFmtId="0" fontId="10" fillId="0" borderId="5" xfId="0" applyFont="1" applyBorder="1" applyAlignment="1">
      <alignment vertical="top" wrapText="1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44" fillId="0" borderId="0" xfId="0" applyFont="1">
      <alignment vertical="center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177" fontId="0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0" fillId="0" borderId="6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7" xfId="0" applyFont="1" applyBorder="1">
      <alignment vertical="center"/>
    </xf>
    <xf numFmtId="0" fontId="0" fillId="0" borderId="8" xfId="0" applyFont="1" applyBorder="1">
      <alignment vertical="center"/>
    </xf>
    <xf numFmtId="10" fontId="0" fillId="0" borderId="0" xfId="0" applyNumberFormat="1" applyBorder="1">
      <alignment vertical="center"/>
    </xf>
    <xf numFmtId="10" fontId="0" fillId="0" borderId="10" xfId="0" applyNumberFormat="1" applyBorder="1">
      <alignment vertical="center"/>
    </xf>
    <xf numFmtId="0" fontId="0" fillId="0" borderId="10" xfId="0" applyFont="1" applyBorder="1">
      <alignment vertical="center"/>
    </xf>
    <xf numFmtId="0" fontId="0" fillId="0" borderId="12" xfId="0" applyFont="1" applyBorder="1">
      <alignment vertical="center"/>
    </xf>
    <xf numFmtId="10" fontId="0" fillId="0" borderId="1" xfId="0" applyNumberFormat="1" applyBorder="1">
      <alignment vertical="center"/>
    </xf>
    <xf numFmtId="10" fontId="0" fillId="0" borderId="12" xfId="0" applyNumberFormat="1" applyBorder="1">
      <alignment vertical="center"/>
    </xf>
    <xf numFmtId="0" fontId="0" fillId="0" borderId="0" xfId="0" applyFont="1" applyFill="1" applyBorder="1">
      <alignment vertical="center"/>
    </xf>
    <xf numFmtId="179" fontId="44" fillId="3" borderId="0" xfId="0" applyNumberFormat="1" applyFont="1" applyFill="1" applyBorder="1">
      <alignment vertical="center"/>
    </xf>
    <xf numFmtId="179" fontId="44" fillId="3" borderId="1" xfId="0" applyNumberFormat="1" applyFont="1" applyFill="1" applyBorder="1">
      <alignment vertical="center"/>
    </xf>
    <xf numFmtId="179" fontId="0" fillId="0" borderId="0" xfId="0" applyNumberFormat="1">
      <alignment vertical="center"/>
    </xf>
    <xf numFmtId="179" fontId="44" fillId="3" borderId="7" xfId="0" applyNumberFormat="1" applyFont="1" applyFill="1" applyBorder="1">
      <alignment vertical="center"/>
    </xf>
    <xf numFmtId="179" fontId="0" fillId="0" borderId="0" xfId="0" applyNumberFormat="1" applyBorder="1">
      <alignment vertical="center"/>
    </xf>
    <xf numFmtId="179" fontId="0" fillId="0" borderId="1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77" fontId="0" fillId="0" borderId="0" xfId="0" applyNumberFormat="1" applyAlignment="1">
      <alignment horizontal="right" vertical="center"/>
    </xf>
    <xf numFmtId="0" fontId="0" fillId="0" borderId="16" xfId="0" applyFont="1" applyBorder="1">
      <alignment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7" fontId="0" fillId="0" borderId="17" xfId="0" applyNumberFormat="1" applyBorder="1" applyAlignment="1">
      <alignment horizontal="right" vertical="center"/>
    </xf>
    <xf numFmtId="0" fontId="0" fillId="0" borderId="17" xfId="0" applyFont="1" applyBorder="1" applyAlignment="1">
      <alignment horizontal="right" vertical="center"/>
    </xf>
    <xf numFmtId="0" fontId="0" fillId="0" borderId="18" xfId="0" applyFont="1" applyBorder="1" applyAlignment="1">
      <alignment horizontal="right" vertical="center"/>
    </xf>
    <xf numFmtId="0" fontId="0" fillId="0" borderId="19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177" fontId="0" fillId="0" borderId="0" xfId="0" applyNumberFormat="1" applyBorder="1">
      <alignment vertical="center"/>
    </xf>
    <xf numFmtId="10" fontId="0" fillId="0" borderId="14" xfId="0" applyNumberForma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176" fontId="0" fillId="0" borderId="21" xfId="0" applyNumberFormat="1" applyBorder="1">
      <alignment vertical="center"/>
    </xf>
    <xf numFmtId="177" fontId="0" fillId="0" borderId="21" xfId="0" applyNumberFormat="1" applyBorder="1">
      <alignment vertical="center"/>
    </xf>
    <xf numFmtId="10" fontId="0" fillId="0" borderId="21" xfId="0" applyNumberFormat="1" applyBorder="1">
      <alignment vertical="center"/>
    </xf>
    <xf numFmtId="10" fontId="0" fillId="0" borderId="22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176" fontId="0" fillId="0" borderId="17" xfId="0" applyNumberFormat="1" applyBorder="1">
      <alignment vertical="center"/>
    </xf>
    <xf numFmtId="177" fontId="0" fillId="0" borderId="17" xfId="0" applyNumberFormat="1" applyBorder="1">
      <alignment vertical="center"/>
    </xf>
    <xf numFmtId="10" fontId="0" fillId="0" borderId="17" xfId="0" applyNumberFormat="1" applyBorder="1">
      <alignment vertical="center"/>
    </xf>
    <xf numFmtId="10" fontId="0" fillId="0" borderId="18" xfId="0" applyNumberFormat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176" fontId="0" fillId="0" borderId="24" xfId="0" applyNumberFormat="1" applyBorder="1">
      <alignment vertical="center"/>
    </xf>
    <xf numFmtId="177" fontId="0" fillId="0" borderId="24" xfId="0" applyNumberFormat="1" applyBorder="1">
      <alignment vertical="center"/>
    </xf>
    <xf numFmtId="0" fontId="0" fillId="0" borderId="25" xfId="0" applyBorder="1">
      <alignment vertical="center"/>
    </xf>
    <xf numFmtId="10" fontId="0" fillId="0" borderId="0" xfId="0" applyNumberFormat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right" vertical="center"/>
    </xf>
    <xf numFmtId="10" fontId="0" fillId="0" borderId="0" xfId="0" applyNumberFormat="1" applyBorder="1" applyAlignment="1">
      <alignment horizontal="right" vertical="center"/>
    </xf>
    <xf numFmtId="10" fontId="0" fillId="0" borderId="14" xfId="0" applyNumberFormat="1" applyBorder="1" applyAlignment="1">
      <alignment horizontal="right" vertical="center"/>
    </xf>
    <xf numFmtId="0" fontId="0" fillId="0" borderId="21" xfId="0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7" fontId="0" fillId="0" borderId="21" xfId="0" applyNumberFormat="1" applyBorder="1" applyAlignment="1">
      <alignment horizontal="right" vertical="center"/>
    </xf>
    <xf numFmtId="10" fontId="0" fillId="0" borderId="21" xfId="0" applyNumberFormat="1" applyBorder="1" applyAlignment="1">
      <alignment horizontal="right" vertical="center"/>
    </xf>
    <xf numFmtId="10" fontId="0" fillId="0" borderId="22" xfId="0" applyNumberFormat="1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176" fontId="0" fillId="0" borderId="17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right" vertical="center"/>
    </xf>
    <xf numFmtId="10" fontId="0" fillId="0" borderId="18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45" fillId="0" borderId="0" xfId="0" applyFont="1">
      <alignment vertical="center"/>
    </xf>
    <xf numFmtId="0" fontId="0" fillId="0" borderId="0" xfId="0" applyFont="1">
      <alignment vertical="center"/>
    </xf>
    <xf numFmtId="0" fontId="27" fillId="0" borderId="35" xfId="0" applyFont="1" applyBorder="1" applyAlignment="1">
      <alignment horizontal="center" vertical="top"/>
    </xf>
    <xf numFmtId="0" fontId="27" fillId="0" borderId="0" xfId="0" applyFont="1" applyAlignment="1">
      <alignment horizontal="center" vertical="top"/>
    </xf>
    <xf numFmtId="0" fontId="28" fillId="0" borderId="0" xfId="0" applyFont="1" applyAlignment="1">
      <alignment horizontal="center" vertical="top"/>
    </xf>
    <xf numFmtId="0" fontId="28" fillId="0" borderId="0" xfId="0" applyFont="1" applyAlignment="1">
      <alignment horizontal="center" vertical="center"/>
    </xf>
    <xf numFmtId="0" fontId="27" fillId="0" borderId="36" xfId="0" applyFont="1" applyBorder="1" applyAlignment="1">
      <alignment horizontal="center" vertical="top"/>
    </xf>
    <xf numFmtId="0" fontId="28" fillId="0" borderId="36" xfId="0" applyFont="1" applyBorder="1" applyAlignment="1">
      <alignment horizontal="center" vertical="top"/>
    </xf>
    <xf numFmtId="177" fontId="45" fillId="0" borderId="0" xfId="0" applyNumberFormat="1" applyFont="1">
      <alignment vertical="center"/>
    </xf>
    <xf numFmtId="0" fontId="0" fillId="0" borderId="6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15" fillId="0" borderId="0" xfId="0" applyFont="1" applyBorder="1" applyAlignment="1">
      <alignment horizontal="center" vertical="center" wrapText="1"/>
    </xf>
    <xf numFmtId="3" fontId="0" fillId="0" borderId="0" xfId="0" applyNumberFormat="1">
      <alignment vertical="center"/>
    </xf>
    <xf numFmtId="0" fontId="0" fillId="3" borderId="0" xfId="0" applyFill="1">
      <alignment vertical="center"/>
    </xf>
    <xf numFmtId="0" fontId="15" fillId="0" borderId="1" xfId="0" applyFont="1" applyBorder="1" applyAlignment="1">
      <alignment horizontal="center" vertical="center" wrapText="1"/>
    </xf>
    <xf numFmtId="0" fontId="46" fillId="0" borderId="26" xfId="0" applyFont="1" applyBorder="1" applyAlignment="1">
      <alignment horizontal="center" vertical="top" wrapText="1"/>
    </xf>
    <xf numFmtId="0" fontId="46" fillId="0" borderId="1" xfId="0" applyFont="1" applyBorder="1" applyAlignment="1">
      <alignment horizontal="center" vertical="top" wrapText="1"/>
    </xf>
    <xf numFmtId="0" fontId="47" fillId="0" borderId="1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8" fillId="0" borderId="4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/>
    </xf>
    <xf numFmtId="181" fontId="46" fillId="0" borderId="0" xfId="0" applyNumberFormat="1" applyFont="1" applyAlignment="1">
      <alignment horizontal="center" vertical="center"/>
    </xf>
    <xf numFmtId="180" fontId="46" fillId="0" borderId="4" xfId="0" applyNumberFormat="1" applyFont="1" applyBorder="1" applyAlignment="1">
      <alignment horizontal="center" vertical="center"/>
    </xf>
    <xf numFmtId="0" fontId="0" fillId="3" borderId="9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10" xfId="0" applyFill="1" applyBorder="1">
      <alignment vertical="center"/>
    </xf>
    <xf numFmtId="10" fontId="0" fillId="0" borderId="6" xfId="0" applyNumberFormat="1" applyBorder="1">
      <alignment vertical="center"/>
    </xf>
    <xf numFmtId="10" fontId="0" fillId="0" borderId="8" xfId="0" applyNumberFormat="1" applyBorder="1">
      <alignment vertical="center"/>
    </xf>
    <xf numFmtId="10" fontId="0" fillId="0" borderId="9" xfId="0" applyNumberFormat="1" applyBorder="1">
      <alignment vertical="center"/>
    </xf>
    <xf numFmtId="0" fontId="0" fillId="0" borderId="12" xfId="0" applyFont="1" applyBorder="1">
      <alignment vertical="center"/>
    </xf>
    <xf numFmtId="0" fontId="0" fillId="4" borderId="0" xfId="0" applyFont="1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>
      <alignment vertical="center"/>
    </xf>
    <xf numFmtId="0" fontId="0" fillId="4" borderId="0" xfId="0" applyFont="1" applyFill="1">
      <alignment vertical="center"/>
    </xf>
    <xf numFmtId="177" fontId="0" fillId="4" borderId="0" xfId="0" applyNumberFormat="1" applyFill="1">
      <alignment vertical="center"/>
    </xf>
    <xf numFmtId="0" fontId="8" fillId="4" borderId="0" xfId="0" applyFont="1" applyFill="1" applyAlignment="1">
      <alignment horizontal="justify"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right" vertical="center" wrapText="1"/>
    </xf>
    <xf numFmtId="0" fontId="0" fillId="4" borderId="9" xfId="0" applyFill="1" applyBorder="1">
      <alignment vertical="center"/>
    </xf>
    <xf numFmtId="10" fontId="0" fillId="4" borderId="0" xfId="0" applyNumberFormat="1" applyFill="1" applyBorder="1">
      <alignment vertical="center"/>
    </xf>
    <xf numFmtId="10" fontId="0" fillId="4" borderId="10" xfId="0" applyNumberForma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11" xfId="0" applyFill="1" applyBorder="1">
      <alignment vertical="center"/>
    </xf>
    <xf numFmtId="10" fontId="0" fillId="4" borderId="1" xfId="0" applyNumberFormat="1" applyFill="1" applyBorder="1">
      <alignment vertical="center"/>
    </xf>
    <xf numFmtId="10" fontId="0" fillId="4" borderId="12" xfId="0" applyNumberFormat="1" applyFill="1" applyBorder="1">
      <alignment vertical="center"/>
    </xf>
    <xf numFmtId="0" fontId="0" fillId="4" borderId="19" xfId="0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176" fontId="0" fillId="4" borderId="0" xfId="0" applyNumberFormat="1" applyFill="1" applyBorder="1" applyAlignment="1">
      <alignment horizontal="center" vertical="center"/>
    </xf>
    <xf numFmtId="177" fontId="0" fillId="4" borderId="0" xfId="0" applyNumberFormat="1" applyFill="1" applyBorder="1" applyAlignment="1">
      <alignment horizontal="right" vertical="center"/>
    </xf>
    <xf numFmtId="10" fontId="0" fillId="4" borderId="0" xfId="0" applyNumberFormat="1" applyFill="1" applyBorder="1" applyAlignment="1">
      <alignment horizontal="right" vertical="center"/>
    </xf>
    <xf numFmtId="10" fontId="0" fillId="4" borderId="14" xfId="0" applyNumberFormat="1" applyFill="1" applyBorder="1" applyAlignment="1">
      <alignment horizontal="right" vertical="center"/>
    </xf>
    <xf numFmtId="0" fontId="0" fillId="4" borderId="20" xfId="0" applyFill="1" applyBorder="1">
      <alignment vertical="center"/>
    </xf>
    <xf numFmtId="0" fontId="0" fillId="4" borderId="21" xfId="0" applyFill="1" applyBorder="1" applyAlignment="1">
      <alignment horizontal="center" vertical="center"/>
    </xf>
    <xf numFmtId="176" fontId="0" fillId="4" borderId="21" xfId="0" applyNumberFormat="1" applyFill="1" applyBorder="1" applyAlignment="1">
      <alignment horizontal="center" vertical="center"/>
    </xf>
    <xf numFmtId="177" fontId="0" fillId="4" borderId="21" xfId="0" applyNumberFormat="1" applyFill="1" applyBorder="1" applyAlignment="1">
      <alignment horizontal="right" vertical="center"/>
    </xf>
    <xf numFmtId="10" fontId="0" fillId="4" borderId="21" xfId="0" applyNumberFormat="1" applyFill="1" applyBorder="1" applyAlignment="1">
      <alignment horizontal="right" vertical="center"/>
    </xf>
    <xf numFmtId="10" fontId="0" fillId="4" borderId="22" xfId="0" applyNumberFormat="1" applyFill="1" applyBorder="1" applyAlignment="1">
      <alignment horizontal="right" vertical="center"/>
    </xf>
    <xf numFmtId="0" fontId="31" fillId="2" borderId="0" xfId="0" applyFont="1" applyFill="1" applyBorder="1" applyAlignment="1">
      <alignment horizontal="center" vertical="center" wrapText="1"/>
    </xf>
    <xf numFmtId="0" fontId="0" fillId="0" borderId="7" xfId="0" applyFont="1" applyBorder="1">
      <alignment vertical="center"/>
    </xf>
    <xf numFmtId="0" fontId="0" fillId="0" borderId="8" xfId="0" applyFont="1" applyBorder="1">
      <alignment vertical="center"/>
    </xf>
    <xf numFmtId="176" fontId="8" fillId="2" borderId="0" xfId="0" applyNumberFormat="1" applyFont="1" applyFill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/>
    </xf>
    <xf numFmtId="176" fontId="8" fillId="4" borderId="0" xfId="0" applyNumberFormat="1" applyFont="1" applyFill="1" applyAlignment="1">
      <alignment horizontal="center" vertical="center" wrapText="1"/>
    </xf>
    <xf numFmtId="176" fontId="8" fillId="2" borderId="0" xfId="0" applyNumberFormat="1" applyFont="1" applyFill="1" applyAlignment="1">
      <alignment vertical="center" wrapText="1"/>
    </xf>
    <xf numFmtId="176" fontId="0" fillId="0" borderId="0" xfId="0" applyNumberFormat="1" applyFont="1" applyAlignment="1">
      <alignment vertical="center"/>
    </xf>
    <xf numFmtId="176" fontId="8" fillId="4" borderId="0" xfId="0" applyNumberFormat="1" applyFont="1" applyFill="1" applyAlignment="1">
      <alignment vertical="center" wrapText="1"/>
    </xf>
    <xf numFmtId="177" fontId="0" fillId="0" borderId="10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12" xfId="0" applyNumberFormat="1" applyBorder="1">
      <alignment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27" xfId="0" applyFont="1" applyBorder="1" applyAlignment="1">
      <alignment vertical="center" wrapText="1"/>
    </xf>
    <xf numFmtId="180" fontId="0" fillId="0" borderId="9" xfId="0" applyNumberFormat="1" applyBorder="1">
      <alignment vertical="center"/>
    </xf>
    <xf numFmtId="180" fontId="0" fillId="0" borderId="0" xfId="0" applyNumberFormat="1" applyBorder="1">
      <alignment vertical="center"/>
    </xf>
    <xf numFmtId="180" fontId="0" fillId="0" borderId="10" xfId="0" applyNumberFormat="1" applyBorder="1">
      <alignment vertical="center"/>
    </xf>
    <xf numFmtId="180" fontId="0" fillId="0" borderId="11" xfId="0" applyNumberFormat="1" applyBorder="1">
      <alignment vertical="center"/>
    </xf>
    <xf numFmtId="180" fontId="0" fillId="0" borderId="1" xfId="0" applyNumberFormat="1" applyBorder="1">
      <alignment vertical="center"/>
    </xf>
    <xf numFmtId="180" fontId="0" fillId="0" borderId="12" xfId="0" applyNumberFormat="1" applyBorder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right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justify" vertical="center" wrapText="1"/>
    </xf>
    <xf numFmtId="0" fontId="8" fillId="2" borderId="0" xfId="0" applyFont="1" applyFill="1" applyBorder="1" applyAlignment="1">
      <alignment horizontal="right" vertical="center" wrapText="1"/>
    </xf>
    <xf numFmtId="0" fontId="0" fillId="0" borderId="0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77" fontId="0" fillId="0" borderId="27" xfId="0" applyNumberFormat="1" applyFont="1" applyBorder="1">
      <alignment vertical="center"/>
    </xf>
    <xf numFmtId="177" fontId="0" fillId="0" borderId="28" xfId="0" applyNumberFormat="1" applyFont="1" applyBorder="1">
      <alignment vertical="center"/>
    </xf>
    <xf numFmtId="0" fontId="8" fillId="2" borderId="28" xfId="0" applyFont="1" applyFill="1" applyBorder="1" applyAlignment="1">
      <alignment horizontal="center" vertical="center" wrapText="1"/>
    </xf>
    <xf numFmtId="177" fontId="0" fillId="0" borderId="28" xfId="0" applyNumberFormat="1" applyBorder="1">
      <alignment vertical="center"/>
    </xf>
    <xf numFmtId="0" fontId="0" fillId="3" borderId="28" xfId="0" applyFill="1" applyBorder="1">
      <alignment vertical="center"/>
    </xf>
    <xf numFmtId="177" fontId="0" fillId="0" borderId="29" xfId="0" applyNumberFormat="1" applyBorder="1">
      <alignment vertical="center"/>
    </xf>
    <xf numFmtId="0" fontId="0" fillId="0" borderId="0" xfId="0" applyFont="1" applyBorder="1">
      <alignment vertical="center"/>
    </xf>
    <xf numFmtId="176" fontId="0" fillId="0" borderId="9" xfId="0" applyNumberFormat="1" applyBorder="1">
      <alignment vertical="center"/>
    </xf>
    <xf numFmtId="176" fontId="0" fillId="0" borderId="11" xfId="0" applyNumberFormat="1" applyBorder="1">
      <alignment vertical="center"/>
    </xf>
    <xf numFmtId="0" fontId="44" fillId="0" borderId="9" xfId="0" applyFont="1" applyBorder="1">
      <alignment vertical="center"/>
    </xf>
    <xf numFmtId="0" fontId="44" fillId="0" borderId="0" xfId="0" applyFont="1" applyBorder="1">
      <alignment vertical="center"/>
    </xf>
    <xf numFmtId="176" fontId="44" fillId="0" borderId="0" xfId="0" applyNumberFormat="1" applyFont="1" applyBorder="1">
      <alignment vertical="center"/>
    </xf>
    <xf numFmtId="0" fontId="44" fillId="0" borderId="14" xfId="0" applyFont="1" applyBorder="1">
      <alignment vertical="center"/>
    </xf>
    <xf numFmtId="176" fontId="44" fillId="0" borderId="10" xfId="0" applyNumberFormat="1" applyFont="1" applyBorder="1">
      <alignment vertical="center"/>
    </xf>
    <xf numFmtId="180" fontId="44" fillId="0" borderId="0" xfId="0" applyNumberFormat="1" applyFont="1">
      <alignment vertical="center"/>
    </xf>
    <xf numFmtId="176" fontId="44" fillId="0" borderId="9" xfId="0" applyNumberFormat="1" applyFont="1" applyBorder="1">
      <alignment vertical="center"/>
    </xf>
    <xf numFmtId="0" fontId="44" fillId="0" borderId="11" xfId="0" applyFont="1" applyBorder="1">
      <alignment vertical="center"/>
    </xf>
    <xf numFmtId="0" fontId="44" fillId="0" borderId="1" xfId="0" applyFont="1" applyBorder="1">
      <alignment vertical="center"/>
    </xf>
    <xf numFmtId="176" fontId="44" fillId="0" borderId="1" xfId="0" applyNumberFormat="1" applyFont="1" applyBorder="1">
      <alignment vertical="center"/>
    </xf>
    <xf numFmtId="0" fontId="44" fillId="0" borderId="15" xfId="0" applyFont="1" applyBorder="1">
      <alignment vertical="center"/>
    </xf>
    <xf numFmtId="176" fontId="44" fillId="0" borderId="12" xfId="0" applyNumberFormat="1" applyFont="1" applyBorder="1">
      <alignment vertical="center"/>
    </xf>
    <xf numFmtId="0" fontId="16" fillId="0" borderId="0" xfId="0" applyFont="1">
      <alignment vertical="center"/>
    </xf>
    <xf numFmtId="181" fontId="0" fillId="4" borderId="0" xfId="0" applyNumberFormat="1" applyFont="1" applyFill="1">
      <alignment vertical="center"/>
    </xf>
    <xf numFmtId="0" fontId="0" fillId="0" borderId="0" xfId="0" applyFont="1">
      <alignment vertical="center"/>
    </xf>
    <xf numFmtId="0" fontId="0" fillId="0" borderId="0" xfId="0" applyAlignment="1"/>
    <xf numFmtId="0" fontId="47" fillId="0" borderId="6" xfId="0" applyFont="1" applyBorder="1" applyAlignment="1">
      <alignment horizontal="center" vertical="center"/>
    </xf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 applyAlignment="1">
      <alignment horizontal="center" vertical="center" wrapText="1"/>
    </xf>
    <xf numFmtId="0" fontId="47" fillId="0" borderId="26" xfId="0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49" fillId="0" borderId="0" xfId="0" applyFont="1" applyBorder="1" applyAlignment="1">
      <alignment vertical="center" wrapText="1"/>
    </xf>
    <xf numFmtId="0" fontId="47" fillId="0" borderId="0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 wrapText="1"/>
    </xf>
    <xf numFmtId="0" fontId="46" fillId="0" borderId="10" xfId="0" applyFont="1" applyBorder="1" applyAlignment="1">
      <alignment horizontal="center" vertical="center" wrapText="1"/>
    </xf>
    <xf numFmtId="2" fontId="49" fillId="0" borderId="0" xfId="0" applyNumberFormat="1" applyFont="1" applyBorder="1" applyAlignment="1">
      <alignment horizontal="center" vertical="center"/>
    </xf>
    <xf numFmtId="0" fontId="48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2" fontId="50" fillId="0" borderId="0" xfId="0" applyNumberFormat="1" applyFont="1" applyAlignment="1">
      <alignment horizontal="left" vertical="center"/>
    </xf>
    <xf numFmtId="2" fontId="46" fillId="0" borderId="0" xfId="0" applyNumberFormat="1" applyFont="1" applyAlignment="1">
      <alignment horizontal="left" vertical="center"/>
    </xf>
    <xf numFmtId="2" fontId="46" fillId="0" borderId="0" xfId="0" applyNumberFormat="1" applyFont="1" applyAlignment="1">
      <alignment horizontal="left" vertical="center" wrapText="1"/>
    </xf>
    <xf numFmtId="0" fontId="46" fillId="3" borderId="0" xfId="0" applyFont="1" applyFill="1" applyBorder="1" applyAlignment="1">
      <alignment horizontal="center" vertical="center"/>
    </xf>
    <xf numFmtId="0" fontId="46" fillId="3" borderId="0" xfId="0" applyFont="1" applyFill="1" applyBorder="1" applyAlignment="1">
      <alignment horizontal="center" vertical="center" wrapText="1"/>
    </xf>
    <xf numFmtId="0" fontId="49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left" vertical="center"/>
    </xf>
    <xf numFmtId="0" fontId="48" fillId="0" borderId="4" xfId="0" applyFont="1" applyBorder="1" applyAlignment="1">
      <alignment horizontal="center" vertical="center" wrapText="1"/>
    </xf>
    <xf numFmtId="0" fontId="48" fillId="0" borderId="4" xfId="0" applyFont="1" applyBorder="1" applyAlignment="1">
      <alignment horizontal="center" vertical="center"/>
    </xf>
    <xf numFmtId="2" fontId="50" fillId="0" borderId="4" xfId="0" applyNumberFormat="1" applyFont="1" applyBorder="1" applyAlignment="1">
      <alignment horizontal="left" vertical="center"/>
    </xf>
    <xf numFmtId="2" fontId="46" fillId="0" borderId="4" xfId="0" applyNumberFormat="1" applyFont="1" applyBorder="1" applyAlignment="1">
      <alignment horizontal="left" vertical="center"/>
    </xf>
    <xf numFmtId="2" fontId="46" fillId="0" borderId="4" xfId="0" applyNumberFormat="1" applyFont="1" applyBorder="1" applyAlignment="1">
      <alignment horizontal="left" vertical="center" wrapText="1"/>
    </xf>
    <xf numFmtId="0" fontId="48" fillId="0" borderId="11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 wrapText="1"/>
    </xf>
    <xf numFmtId="0" fontId="51" fillId="5" borderId="0" xfId="0" applyFont="1" applyFill="1" applyAlignment="1">
      <alignment horizontal="center"/>
    </xf>
    <xf numFmtId="0" fontId="51" fillId="6" borderId="0" xfId="0" applyFont="1" applyFill="1" applyAlignment="1">
      <alignment horizontal="center"/>
    </xf>
    <xf numFmtId="0" fontId="51" fillId="7" borderId="0" xfId="0" applyFont="1" applyFill="1" applyAlignment="1">
      <alignment horizontal="center"/>
    </xf>
    <xf numFmtId="0" fontId="0" fillId="0" borderId="6" xfId="0" applyBorder="1" applyAlignment="1">
      <alignment wrapText="1"/>
    </xf>
    <xf numFmtId="184" fontId="51" fillId="5" borderId="0" xfId="0" applyNumberFormat="1" applyFont="1" applyFill="1" applyAlignment="1">
      <alignment horizontal="center"/>
    </xf>
    <xf numFmtId="184" fontId="51" fillId="4" borderId="0" xfId="0" applyNumberFormat="1" applyFont="1" applyFill="1" applyAlignment="1">
      <alignment horizontal="center"/>
    </xf>
    <xf numFmtId="184" fontId="51" fillId="6" borderId="0" xfId="0" applyNumberFormat="1" applyFont="1" applyFill="1" applyAlignment="1">
      <alignment horizontal="center"/>
    </xf>
    <xf numFmtId="2" fontId="51" fillId="7" borderId="0" xfId="0" applyNumberFormat="1" applyFont="1" applyFill="1" applyAlignment="1">
      <alignment horizontal="center"/>
    </xf>
    <xf numFmtId="183" fontId="51" fillId="5" borderId="0" xfId="0" applyNumberFormat="1" applyFont="1" applyFill="1" applyAlignment="1">
      <alignment horizontal="center"/>
    </xf>
    <xf numFmtId="183" fontId="46" fillId="4" borderId="7" xfId="0" applyNumberFormat="1" applyFont="1" applyFill="1" applyBorder="1" applyAlignment="1">
      <alignment horizontal="center" vertical="center" wrapText="1"/>
    </xf>
    <xf numFmtId="0" fontId="46" fillId="4" borderId="7" xfId="0" applyFont="1" applyFill="1" applyBorder="1" applyAlignment="1">
      <alignment horizontal="center" vertical="center" wrapText="1"/>
    </xf>
    <xf numFmtId="180" fontId="0" fillId="0" borderId="9" xfId="0" applyNumberFormat="1" applyBorder="1" applyAlignment="1"/>
    <xf numFmtId="2" fontId="52" fillId="7" borderId="0" xfId="0" applyNumberFormat="1" applyFont="1" applyFill="1" applyAlignment="1">
      <alignment horizontal="center"/>
    </xf>
    <xf numFmtId="183" fontId="52" fillId="3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181" fontId="42" fillId="0" borderId="0" xfId="1" applyNumberFormat="1" applyFont="1" applyAlignment="1"/>
    <xf numFmtId="9" fontId="46" fillId="0" borderId="0" xfId="1" applyFont="1" applyFill="1" applyBorder="1" applyAlignment="1">
      <alignment horizontal="center" vertical="center" wrapText="1"/>
    </xf>
    <xf numFmtId="181" fontId="0" fillId="0" borderId="0" xfId="0" applyNumberFormat="1" applyAlignment="1"/>
    <xf numFmtId="184" fontId="0" fillId="0" borderId="0" xfId="0" applyNumberFormat="1" applyAlignment="1"/>
    <xf numFmtId="183" fontId="46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3" fillId="0" borderId="0" xfId="0" applyFont="1" applyAlignment="1">
      <alignment horizontal="left" vertical="center"/>
    </xf>
    <xf numFmtId="184" fontId="0" fillId="0" borderId="0" xfId="0" applyNumberFormat="1">
      <alignment vertical="center"/>
    </xf>
    <xf numFmtId="183" fontId="0" fillId="0" borderId="0" xfId="0" applyNumberFormat="1" applyAlignment="1">
      <alignment horizontal="right"/>
    </xf>
    <xf numFmtId="183" fontId="46" fillId="0" borderId="0" xfId="0" applyNumberFormat="1" applyFont="1" applyFill="1" applyBorder="1" applyAlignment="1">
      <alignment horizontal="right" vertical="center" wrapText="1"/>
    </xf>
    <xf numFmtId="184" fontId="8" fillId="2" borderId="0" xfId="0" applyNumberFormat="1" applyFont="1" applyFill="1" applyBorder="1" applyAlignment="1">
      <alignment horizontal="center" vertical="center" wrapText="1"/>
    </xf>
    <xf numFmtId="184" fontId="8" fillId="2" borderId="0" xfId="0" applyNumberFormat="1" applyFont="1" applyFill="1" applyAlignment="1">
      <alignment horizontal="right" vertical="center" wrapText="1"/>
    </xf>
    <xf numFmtId="184" fontId="8" fillId="2" borderId="1" xfId="0" applyNumberFormat="1" applyFont="1" applyFill="1" applyBorder="1" applyAlignment="1">
      <alignment horizontal="right" vertical="center" wrapText="1"/>
    </xf>
    <xf numFmtId="0" fontId="48" fillId="0" borderId="0" xfId="0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184" fontId="8" fillId="2" borderId="17" xfId="0" applyNumberFormat="1" applyFont="1" applyFill="1" applyBorder="1" applyAlignment="1">
      <alignment horizontal="center" vertical="center" wrapText="1"/>
    </xf>
    <xf numFmtId="0" fontId="48" fillId="0" borderId="21" xfId="0" applyFont="1" applyBorder="1" applyAlignment="1">
      <alignment horizontal="center" vertical="center"/>
    </xf>
    <xf numFmtId="184" fontId="8" fillId="2" borderId="21" xfId="0" applyNumberFormat="1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184" fontId="8" fillId="2" borderId="16" xfId="0" applyNumberFormat="1" applyFont="1" applyFill="1" applyBorder="1" applyAlignment="1">
      <alignment horizontal="center" vertical="center" wrapText="1"/>
    </xf>
    <xf numFmtId="184" fontId="8" fillId="2" borderId="18" xfId="0" applyNumberFormat="1" applyFont="1" applyFill="1" applyBorder="1" applyAlignment="1">
      <alignment horizontal="center" vertical="center" wrapText="1"/>
    </xf>
    <xf numFmtId="184" fontId="8" fillId="2" borderId="19" xfId="0" applyNumberFormat="1" applyFont="1" applyFill="1" applyBorder="1" applyAlignment="1">
      <alignment horizontal="center" vertical="center" wrapText="1"/>
    </xf>
    <xf numFmtId="184" fontId="8" fillId="2" borderId="14" xfId="0" applyNumberFormat="1" applyFont="1" applyFill="1" applyBorder="1" applyAlignment="1">
      <alignment horizontal="center" vertical="center" wrapText="1"/>
    </xf>
    <xf numFmtId="184" fontId="8" fillId="2" borderId="20" xfId="0" applyNumberFormat="1" applyFont="1" applyFill="1" applyBorder="1" applyAlignment="1">
      <alignment horizontal="center" vertical="center" wrapText="1"/>
    </xf>
    <xf numFmtId="184" fontId="8" fillId="2" borderId="22" xfId="0" applyNumberFormat="1" applyFont="1" applyFill="1" applyBorder="1" applyAlignment="1">
      <alignment horizontal="center" vertical="center" wrapText="1"/>
    </xf>
    <xf numFmtId="184" fontId="0" fillId="0" borderId="16" xfId="0" applyNumberFormat="1" applyBorder="1" applyAlignment="1">
      <alignment horizontal="center" vertical="center"/>
    </xf>
    <xf numFmtId="184" fontId="0" fillId="0" borderId="19" xfId="0" applyNumberFormat="1" applyBorder="1" applyAlignment="1">
      <alignment horizontal="center" vertical="center"/>
    </xf>
    <xf numFmtId="184" fontId="0" fillId="0" borderId="20" xfId="0" applyNumberFormat="1" applyBorder="1" applyAlignment="1">
      <alignment horizontal="center" vertical="center"/>
    </xf>
    <xf numFmtId="0" fontId="7" fillId="0" borderId="16" xfId="0" applyFont="1" applyBorder="1" applyAlignment="1">
      <alignment vertical="center" wrapText="1"/>
    </xf>
    <xf numFmtId="0" fontId="0" fillId="0" borderId="17" xfId="0" applyFont="1" applyBorder="1">
      <alignment vertical="center"/>
    </xf>
    <xf numFmtId="0" fontId="0" fillId="0" borderId="18" xfId="0" applyFont="1" applyBorder="1">
      <alignment vertical="center"/>
    </xf>
    <xf numFmtId="184" fontId="8" fillId="2" borderId="18" xfId="0" applyNumberFormat="1" applyFont="1" applyFill="1" applyBorder="1" applyAlignment="1">
      <alignment horizontal="justify" vertical="center" wrapText="1"/>
    </xf>
    <xf numFmtId="184" fontId="8" fillId="2" borderId="14" xfId="0" applyNumberFormat="1" applyFont="1" applyFill="1" applyBorder="1" applyAlignment="1">
      <alignment horizontal="justify" vertical="center" wrapText="1"/>
    </xf>
    <xf numFmtId="184" fontId="8" fillId="2" borderId="22" xfId="0" applyNumberFormat="1" applyFont="1" applyFill="1" applyBorder="1" applyAlignment="1">
      <alignment horizontal="justify" vertical="center" wrapText="1"/>
    </xf>
    <xf numFmtId="184" fontId="0" fillId="0" borderId="16" xfId="0" applyNumberFormat="1" applyBorder="1">
      <alignment vertical="center"/>
    </xf>
    <xf numFmtId="184" fontId="0" fillId="0" borderId="18" xfId="0" applyNumberFormat="1" applyBorder="1">
      <alignment vertical="center"/>
    </xf>
    <xf numFmtId="184" fontId="0" fillId="0" borderId="19" xfId="0" applyNumberFormat="1" applyBorder="1">
      <alignment vertical="center"/>
    </xf>
    <xf numFmtId="184" fontId="0" fillId="0" borderId="14" xfId="0" applyNumberFormat="1" applyBorder="1">
      <alignment vertical="center"/>
    </xf>
    <xf numFmtId="184" fontId="8" fillId="2" borderId="19" xfId="0" applyNumberFormat="1" applyFont="1" applyFill="1" applyBorder="1" applyAlignment="1">
      <alignment horizontal="justify" vertical="center" wrapText="1"/>
    </xf>
    <xf numFmtId="184" fontId="0" fillId="0" borderId="22" xfId="0" applyNumberFormat="1" applyBorder="1">
      <alignment vertical="center"/>
    </xf>
    <xf numFmtId="0" fontId="0" fillId="3" borderId="16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0" borderId="0" xfId="0" applyFont="1">
      <alignment vertical="center"/>
    </xf>
    <xf numFmtId="176" fontId="8" fillId="2" borderId="0" xfId="0" applyNumberFormat="1" applyFont="1" applyFill="1" applyBorder="1" applyAlignment="1">
      <alignment horizontal="justify" vertical="center" wrapText="1"/>
    </xf>
    <xf numFmtId="0" fontId="0" fillId="0" borderId="0" xfId="0" applyFill="1" applyBorder="1">
      <alignment vertical="center"/>
    </xf>
    <xf numFmtId="9" fontId="0" fillId="0" borderId="0" xfId="0" applyNumberFormat="1" applyBorder="1">
      <alignment vertical="center"/>
    </xf>
    <xf numFmtId="185" fontId="0" fillId="0" borderId="0" xfId="0" applyNumberForma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Border="1">
      <alignment vertical="center"/>
    </xf>
    <xf numFmtId="178" fontId="0" fillId="0" borderId="0" xfId="0" applyNumberFormat="1">
      <alignment vertical="center"/>
    </xf>
    <xf numFmtId="0" fontId="44" fillId="0" borderId="0" xfId="0" applyFont="1" applyBorder="1">
      <alignment vertical="center"/>
    </xf>
    <xf numFmtId="0" fontId="0" fillId="3" borderId="0" xfId="0" applyFont="1" applyFill="1">
      <alignment vertical="center"/>
    </xf>
    <xf numFmtId="0" fontId="0" fillId="0" borderId="7" xfId="0" applyFont="1" applyBorder="1">
      <alignment vertical="center"/>
    </xf>
    <xf numFmtId="0" fontId="0" fillId="0" borderId="8" xfId="0" applyFont="1" applyBorder="1">
      <alignment vertical="center"/>
    </xf>
    <xf numFmtId="0" fontId="0" fillId="0" borderId="10" xfId="0" applyFont="1" applyBorder="1">
      <alignment vertical="center"/>
    </xf>
    <xf numFmtId="178" fontId="0" fillId="0" borderId="0" xfId="0" applyNumberFormat="1" applyBorder="1">
      <alignment vertical="center"/>
    </xf>
    <xf numFmtId="178" fontId="0" fillId="0" borderId="10" xfId="0" applyNumberFormat="1" applyBorder="1">
      <alignment vertical="center"/>
    </xf>
    <xf numFmtId="0" fontId="0" fillId="0" borderId="9" xfId="0" applyFont="1" applyBorder="1">
      <alignment vertical="center"/>
    </xf>
    <xf numFmtId="0" fontId="0" fillId="0" borderId="11" xfId="0" applyFont="1" applyBorder="1">
      <alignment vertical="center"/>
    </xf>
    <xf numFmtId="0" fontId="0" fillId="0" borderId="1" xfId="0" applyFont="1" applyBorder="1">
      <alignment vertical="center"/>
    </xf>
    <xf numFmtId="178" fontId="0" fillId="0" borderId="1" xfId="0" applyNumberFormat="1" applyBorder="1">
      <alignment vertical="center"/>
    </xf>
    <xf numFmtId="10" fontId="0" fillId="0" borderId="0" xfId="0" applyNumberFormat="1" applyFont="1" applyBorder="1">
      <alignment vertical="center"/>
    </xf>
    <xf numFmtId="0" fontId="0" fillId="0" borderId="10" xfId="0" applyFont="1" applyFill="1" applyBorder="1">
      <alignment vertical="center"/>
    </xf>
    <xf numFmtId="183" fontId="0" fillId="0" borderId="0" xfId="0" applyNumberFormat="1" applyBorder="1">
      <alignment vertical="center"/>
    </xf>
    <xf numFmtId="183" fontId="0" fillId="0" borderId="0" xfId="0" applyNumberFormat="1" applyFont="1" applyBorder="1">
      <alignment vertical="center"/>
    </xf>
    <xf numFmtId="0" fontId="0" fillId="0" borderId="9" xfId="0" applyFont="1" applyFill="1" applyBorder="1">
      <alignment vertical="center"/>
    </xf>
    <xf numFmtId="183" fontId="0" fillId="0" borderId="10" xfId="0" applyNumberFormat="1" applyBorder="1">
      <alignment vertical="center"/>
    </xf>
    <xf numFmtId="9" fontId="0" fillId="0" borderId="0" xfId="0" applyNumberFormat="1" applyFont="1" applyFill="1" applyBorder="1">
      <alignment vertical="center"/>
    </xf>
    <xf numFmtId="178" fontId="0" fillId="0" borderId="0" xfId="0" applyNumberFormat="1" applyFont="1" applyBorder="1">
      <alignment vertical="center"/>
    </xf>
    <xf numFmtId="0" fontId="8" fillId="2" borderId="6" xfId="0" applyFont="1" applyFill="1" applyBorder="1" applyAlignment="1">
      <alignment horizontal="justify" vertical="center" wrapText="1"/>
    </xf>
    <xf numFmtId="0" fontId="8" fillId="2" borderId="11" xfId="0" applyFont="1" applyFill="1" applyBorder="1" applyAlignment="1">
      <alignment horizontal="justify" vertical="center" wrapText="1"/>
    </xf>
    <xf numFmtId="182" fontId="42" fillId="0" borderId="0" xfId="1" applyNumberFormat="1" applyFont="1">
      <alignment vertical="center"/>
    </xf>
    <xf numFmtId="0" fontId="44" fillId="3" borderId="0" xfId="0" applyFont="1" applyFill="1" applyBorder="1">
      <alignment vertical="center"/>
    </xf>
    <xf numFmtId="0" fontId="53" fillId="2" borderId="0" xfId="0" applyFont="1" applyFill="1" applyAlignment="1">
      <alignment horizontal="justify" vertical="center" wrapText="1"/>
    </xf>
    <xf numFmtId="176" fontId="44" fillId="0" borderId="0" xfId="0" applyNumberFormat="1" applyFont="1">
      <alignment vertical="center"/>
    </xf>
    <xf numFmtId="177" fontId="44" fillId="0" borderId="0" xfId="0" applyNumberFormat="1" applyFont="1">
      <alignment vertical="center"/>
    </xf>
    <xf numFmtId="0" fontId="8" fillId="3" borderId="0" xfId="0" applyFont="1" applyFill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47" fillId="4" borderId="7" xfId="0" applyFont="1" applyFill="1" applyBorder="1" applyAlignment="1">
      <alignment horizontal="center" vertical="center" wrapText="1"/>
    </xf>
    <xf numFmtId="0" fontId="49" fillId="4" borderId="7" xfId="0" applyFont="1" applyFill="1" applyBorder="1" applyAlignment="1">
      <alignment vertical="center" wrapText="1"/>
    </xf>
    <xf numFmtId="0" fontId="47" fillId="4" borderId="1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 wrapText="1"/>
    </xf>
    <xf numFmtId="0" fontId="54" fillId="4" borderId="1" xfId="0" applyFont="1" applyFill="1" applyBorder="1" applyAlignment="1">
      <alignment horizontal="center" vertical="center" wrapText="1"/>
    </xf>
    <xf numFmtId="0" fontId="48" fillId="4" borderId="0" xfId="0" applyFont="1" applyFill="1" applyAlignment="1">
      <alignment horizontal="center" vertical="center" wrapText="1"/>
    </xf>
    <xf numFmtId="0" fontId="46" fillId="4" borderId="0" xfId="0" applyFont="1" applyFill="1" applyAlignment="1">
      <alignment horizontal="center" vertical="center" wrapText="1"/>
    </xf>
    <xf numFmtId="0" fontId="55" fillId="4" borderId="0" xfId="0" applyFont="1" applyFill="1" applyAlignment="1">
      <alignment horizontal="center" vertical="center" wrapText="1"/>
    </xf>
    <xf numFmtId="0" fontId="48" fillId="4" borderId="4" xfId="0" applyFont="1" applyFill="1" applyBorder="1" applyAlignment="1">
      <alignment horizontal="center" vertical="center" wrapText="1"/>
    </xf>
    <xf numFmtId="0" fontId="46" fillId="4" borderId="4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186" fontId="0" fillId="0" borderId="0" xfId="0" applyNumberFormat="1" applyBorder="1">
      <alignment vertical="center"/>
    </xf>
    <xf numFmtId="186" fontId="0" fillId="0" borderId="1" xfId="0" applyNumberFormat="1" applyBorder="1">
      <alignment vertical="center"/>
    </xf>
    <xf numFmtId="0" fontId="0" fillId="0" borderId="6" xfId="0" applyFont="1" applyBorder="1">
      <alignment vertical="center"/>
    </xf>
    <xf numFmtId="0" fontId="0" fillId="0" borderId="0" xfId="0" applyFont="1" applyBorder="1">
      <alignment vertical="center"/>
    </xf>
    <xf numFmtId="2" fontId="0" fillId="0" borderId="10" xfId="0" applyNumberFormat="1" applyBorder="1">
      <alignment vertical="center"/>
    </xf>
    <xf numFmtId="186" fontId="0" fillId="0" borderId="10" xfId="0" applyNumberFormat="1" applyBorder="1">
      <alignment vertical="center"/>
    </xf>
    <xf numFmtId="0" fontId="0" fillId="0" borderId="9" xfId="0" applyFont="1" applyBorder="1">
      <alignment vertical="center"/>
    </xf>
    <xf numFmtId="0" fontId="0" fillId="0" borderId="7" xfId="0" applyFont="1" applyBorder="1">
      <alignment vertical="center"/>
    </xf>
    <xf numFmtId="9" fontId="0" fillId="0" borderId="7" xfId="0" applyNumberFormat="1" applyBorder="1">
      <alignment vertical="center"/>
    </xf>
    <xf numFmtId="2" fontId="0" fillId="0" borderId="12" xfId="0" applyNumberFormat="1" applyBorder="1">
      <alignment vertical="center"/>
    </xf>
    <xf numFmtId="0" fontId="0" fillId="0" borderId="8" xfId="0" applyFont="1" applyBorder="1">
      <alignment vertical="center"/>
    </xf>
    <xf numFmtId="2" fontId="0" fillId="0" borderId="0" xfId="0" applyNumberFormat="1" applyBorder="1">
      <alignment vertical="center"/>
    </xf>
    <xf numFmtId="0" fontId="44" fillId="3" borderId="7" xfId="0" applyFont="1" applyFill="1" applyBorder="1">
      <alignment vertical="center"/>
    </xf>
    <xf numFmtId="0" fontId="0" fillId="0" borderId="0" xfId="0" applyFont="1" applyFill="1" applyBorder="1">
      <alignment vertical="center"/>
    </xf>
    <xf numFmtId="186" fontId="0" fillId="0" borderId="0" xfId="0" applyNumberFormat="1">
      <alignment vertical="center"/>
    </xf>
    <xf numFmtId="0" fontId="49" fillId="8" borderId="7" xfId="0" applyFont="1" applyFill="1" applyBorder="1" applyAlignment="1">
      <alignment vertical="center" wrapText="1"/>
    </xf>
    <xf numFmtId="0" fontId="54" fillId="8" borderId="1" xfId="0" applyFont="1" applyFill="1" applyBorder="1" applyAlignment="1">
      <alignment horizontal="center" vertical="center" wrapText="1"/>
    </xf>
    <xf numFmtId="0" fontId="55" fillId="8" borderId="0" xfId="0" applyFont="1" applyFill="1" applyAlignment="1">
      <alignment horizontal="center" vertical="center" wrapText="1"/>
    </xf>
    <xf numFmtId="0" fontId="0" fillId="8" borderId="0" xfId="0" applyFill="1" applyAlignment="1"/>
    <xf numFmtId="0" fontId="47" fillId="0" borderId="0" xfId="0" applyFont="1" applyBorder="1" applyAlignment="1">
      <alignment vertical="center"/>
    </xf>
    <xf numFmtId="0" fontId="47" fillId="0" borderId="10" xfId="0" applyFont="1" applyBorder="1" applyAlignment="1">
      <alignment vertical="top" wrapText="1"/>
    </xf>
    <xf numFmtId="184" fontId="46" fillId="0" borderId="0" xfId="0" applyNumberFormat="1" applyFont="1" applyAlignment="1">
      <alignment horizontal="center" vertical="center"/>
    </xf>
    <xf numFmtId="183" fontId="46" fillId="0" borderId="4" xfId="0" applyNumberFormat="1" applyFont="1" applyBorder="1" applyAlignment="1">
      <alignment horizontal="center" vertical="center"/>
    </xf>
    <xf numFmtId="182" fontId="42" fillId="0" borderId="0" xfId="1" applyNumberFormat="1" applyFont="1">
      <alignment vertical="center"/>
    </xf>
    <xf numFmtId="182" fontId="0" fillId="0" borderId="0" xfId="0" applyNumberFormat="1">
      <alignment vertical="center"/>
    </xf>
    <xf numFmtId="0" fontId="48" fillId="0" borderId="0" xfId="0" applyFont="1" applyFill="1" applyBorder="1" applyAlignment="1">
      <alignment horizontal="center" vertical="center" wrapText="1"/>
    </xf>
    <xf numFmtId="184" fontId="0" fillId="0" borderId="7" xfId="0" applyNumberFormat="1" applyBorder="1">
      <alignment vertical="center"/>
    </xf>
    <xf numFmtId="181" fontId="0" fillId="0" borderId="0" xfId="0" applyNumberFormat="1" applyBorder="1">
      <alignment vertical="center"/>
    </xf>
    <xf numFmtId="181" fontId="0" fillId="0" borderId="1" xfId="0" applyNumberFormat="1" applyBorder="1">
      <alignment vertical="center"/>
    </xf>
    <xf numFmtId="0" fontId="0" fillId="0" borderId="5" xfId="0" applyFont="1" applyBorder="1">
      <alignment vertical="center"/>
    </xf>
    <xf numFmtId="9" fontId="42" fillId="0" borderId="5" xfId="1" applyFont="1" applyBorder="1">
      <alignment vertical="center"/>
    </xf>
    <xf numFmtId="0" fontId="48" fillId="0" borderId="0" xfId="0" applyFont="1" applyFill="1" applyBorder="1" applyAlignment="1">
      <alignment horizontal="center" vertical="center"/>
    </xf>
    <xf numFmtId="178" fontId="0" fillId="0" borderId="0" xfId="0" applyNumberFormat="1" applyFill="1" applyBorder="1">
      <alignment vertical="center"/>
    </xf>
    <xf numFmtId="0" fontId="0" fillId="8" borderId="0" xfId="0" applyFont="1" applyFill="1">
      <alignment vertical="center"/>
    </xf>
    <xf numFmtId="0" fontId="0" fillId="8" borderId="0" xfId="0" applyFill="1">
      <alignment vertical="center"/>
    </xf>
    <xf numFmtId="176" fontId="0" fillId="8" borderId="0" xfId="0" applyNumberFormat="1" applyFill="1">
      <alignment vertical="center"/>
    </xf>
    <xf numFmtId="0" fontId="6" fillId="8" borderId="0" xfId="0" applyFont="1" applyFill="1">
      <alignment vertical="center"/>
    </xf>
    <xf numFmtId="0" fontId="10" fillId="8" borderId="5" xfId="0" applyFont="1" applyFill="1" applyBorder="1" applyAlignment="1">
      <alignment vertical="top" wrapText="1"/>
    </xf>
    <xf numFmtId="183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0" fillId="0" borderId="8" xfId="0" applyNumberFormat="1" applyBorder="1">
      <alignment vertical="center"/>
    </xf>
    <xf numFmtId="1" fontId="0" fillId="0" borderId="10" xfId="0" applyNumberFormat="1" applyBorder="1">
      <alignment vertical="center"/>
    </xf>
    <xf numFmtId="1" fontId="0" fillId="0" borderId="12" xfId="0" applyNumberFormat="1" applyBorder="1">
      <alignment vertical="center"/>
    </xf>
    <xf numFmtId="10" fontId="0" fillId="0" borderId="7" xfId="0" applyNumberFormat="1" applyBorder="1">
      <alignment vertical="center"/>
    </xf>
    <xf numFmtId="0" fontId="44" fillId="3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56" fillId="3" borderId="0" xfId="0" applyFont="1" applyFill="1" applyBorder="1">
      <alignment vertical="center"/>
    </xf>
    <xf numFmtId="0" fontId="0" fillId="3" borderId="0" xfId="0" applyFont="1" applyFill="1">
      <alignment vertical="center"/>
    </xf>
    <xf numFmtId="9" fontId="0" fillId="0" borderId="1" xfId="0" applyNumberForma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9" fontId="44" fillId="3" borderId="0" xfId="0" applyNumberFormat="1" applyFont="1" applyFill="1" applyBorder="1">
      <alignment vertical="center"/>
    </xf>
    <xf numFmtId="0" fontId="0" fillId="0" borderId="7" xfId="0" applyFont="1" applyBorder="1">
      <alignment vertical="center"/>
    </xf>
    <xf numFmtId="182" fontId="42" fillId="0" borderId="0" xfId="1" applyNumberFormat="1" applyFont="1">
      <alignment vertical="center"/>
    </xf>
    <xf numFmtId="0" fontId="0" fillId="0" borderId="0" xfId="0" applyFont="1">
      <alignment vertical="center"/>
    </xf>
    <xf numFmtId="183" fontId="8" fillId="2" borderId="16" xfId="0" applyNumberFormat="1" applyFont="1" applyFill="1" applyBorder="1" applyAlignment="1">
      <alignment horizontal="center" vertical="center" wrapText="1"/>
    </xf>
    <xf numFmtId="183" fontId="8" fillId="2" borderId="19" xfId="0" applyNumberFormat="1" applyFont="1" applyFill="1" applyBorder="1" applyAlignment="1">
      <alignment horizontal="center" vertical="center" wrapText="1"/>
    </xf>
    <xf numFmtId="183" fontId="8" fillId="2" borderId="20" xfId="0" applyNumberFormat="1" applyFont="1" applyFill="1" applyBorder="1" applyAlignment="1">
      <alignment horizontal="center" vertical="center" wrapText="1"/>
    </xf>
    <xf numFmtId="187" fontId="0" fillId="0" borderId="0" xfId="0" applyNumberFormat="1">
      <alignment vertical="center"/>
    </xf>
    <xf numFmtId="182" fontId="42" fillId="0" borderId="0" xfId="1" applyNumberFormat="1" applyFont="1">
      <alignment vertical="center"/>
    </xf>
    <xf numFmtId="2" fontId="0" fillId="0" borderId="0" xfId="0" applyNumberFormat="1">
      <alignment vertical="center"/>
    </xf>
    <xf numFmtId="10" fontId="42" fillId="0" borderId="0" xfId="1" applyNumberFormat="1" applyFont="1" applyFill="1" applyBorder="1">
      <alignment vertical="center"/>
    </xf>
    <xf numFmtId="0" fontId="44" fillId="3" borderId="16" xfId="0" applyFont="1" applyFill="1" applyBorder="1">
      <alignment vertical="center"/>
    </xf>
    <xf numFmtId="0" fontId="0" fillId="0" borderId="18" xfId="0" applyBorder="1">
      <alignment vertical="center"/>
    </xf>
    <xf numFmtId="0" fontId="56" fillId="0" borderId="19" xfId="0" applyFont="1" applyBorder="1">
      <alignment vertical="center"/>
    </xf>
    <xf numFmtId="9" fontId="44" fillId="3" borderId="21" xfId="0" applyNumberFormat="1" applyFont="1" applyFill="1" applyBorder="1">
      <alignment vertical="center"/>
    </xf>
    <xf numFmtId="9" fontId="0" fillId="0" borderId="21" xfId="0" applyNumberFormat="1" applyFont="1" applyFill="1" applyBorder="1">
      <alignment vertical="center"/>
    </xf>
    <xf numFmtId="0" fontId="0" fillId="0" borderId="22" xfId="0" applyBorder="1">
      <alignment vertical="center"/>
    </xf>
    <xf numFmtId="0" fontId="48" fillId="0" borderId="0" xfId="0" applyFont="1" applyBorder="1" applyAlignment="1">
      <alignment horizontal="center" vertical="center" wrapText="1"/>
    </xf>
    <xf numFmtId="183" fontId="46" fillId="0" borderId="0" xfId="0" applyNumberFormat="1" applyFont="1" applyBorder="1" applyAlignment="1">
      <alignment horizontal="center" vertical="center"/>
    </xf>
    <xf numFmtId="180" fontId="46" fillId="0" borderId="0" xfId="0" applyNumberFormat="1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183" fontId="0" fillId="0" borderId="14" xfId="0" applyNumberFormat="1" applyBorder="1">
      <alignment vertical="center"/>
    </xf>
    <xf numFmtId="0" fontId="0" fillId="0" borderId="21" xfId="0" applyFont="1" applyBorder="1">
      <alignment vertical="center"/>
    </xf>
    <xf numFmtId="183" fontId="0" fillId="0" borderId="21" xfId="0" applyNumberFormat="1" applyBorder="1">
      <alignment vertical="center"/>
    </xf>
    <xf numFmtId="183" fontId="0" fillId="0" borderId="22" xfId="0" applyNumberFormat="1" applyBorder="1">
      <alignment vertical="center"/>
    </xf>
    <xf numFmtId="184" fontId="0" fillId="0" borderId="0" xfId="0" applyNumberFormat="1" applyBorder="1">
      <alignment vertical="center"/>
    </xf>
    <xf numFmtId="184" fontId="0" fillId="0" borderId="20" xfId="0" applyNumberFormat="1" applyBorder="1">
      <alignment vertical="center"/>
    </xf>
    <xf numFmtId="184" fontId="0" fillId="0" borderId="21" xfId="0" applyNumberFormat="1" applyBorder="1">
      <alignment vertical="center"/>
    </xf>
    <xf numFmtId="1" fontId="0" fillId="0" borderId="0" xfId="0" applyNumberFormat="1" applyBorder="1">
      <alignment vertical="center"/>
    </xf>
    <xf numFmtId="1" fontId="0" fillId="0" borderId="14" xfId="0" applyNumberFormat="1" applyBorder="1">
      <alignment vertical="center"/>
    </xf>
    <xf numFmtId="1" fontId="0" fillId="0" borderId="21" xfId="0" applyNumberFormat="1" applyBorder="1">
      <alignment vertical="center"/>
    </xf>
    <xf numFmtId="1" fontId="0" fillId="0" borderId="22" xfId="0" applyNumberFormat="1" applyBorder="1">
      <alignment vertical="center"/>
    </xf>
    <xf numFmtId="0" fontId="0" fillId="0" borderId="0" xfId="0" applyFill="1">
      <alignment vertical="center"/>
    </xf>
    <xf numFmtId="0" fontId="0" fillId="9" borderId="0" xfId="0" applyFont="1" applyFill="1">
      <alignment vertical="center"/>
    </xf>
    <xf numFmtId="0" fontId="0" fillId="9" borderId="0" xfId="0" applyFill="1">
      <alignment vertical="center"/>
    </xf>
    <xf numFmtId="57" fontId="0" fillId="9" borderId="0" xfId="0" applyNumberFormat="1" applyFill="1">
      <alignment vertical="center"/>
    </xf>
    <xf numFmtId="0" fontId="43" fillId="0" borderId="0" xfId="2" applyAlignment="1" applyProtection="1">
      <alignment vertical="center"/>
    </xf>
    <xf numFmtId="0" fontId="0" fillId="3" borderId="0" xfId="0" applyFont="1" applyFill="1">
      <alignment vertical="center"/>
    </xf>
    <xf numFmtId="183" fontId="0" fillId="10" borderId="16" xfId="0" applyNumberFormat="1" applyFill="1" applyBorder="1">
      <alignment vertical="center"/>
    </xf>
    <xf numFmtId="183" fontId="0" fillId="10" borderId="19" xfId="0" applyNumberFormat="1" applyFill="1" applyBorder="1">
      <alignment vertical="center"/>
    </xf>
    <xf numFmtId="183" fontId="0" fillId="10" borderId="20" xfId="0" applyNumberFormat="1" applyFill="1" applyBorder="1">
      <alignment vertical="center"/>
    </xf>
    <xf numFmtId="0" fontId="48" fillId="4" borderId="0" xfId="0" applyFont="1" applyFill="1" applyAlignment="1">
      <alignment horizontal="center" vertical="center" wrapText="1"/>
    </xf>
    <xf numFmtId="2" fontId="49" fillId="10" borderId="0" xfId="0" applyNumberFormat="1" applyFont="1" applyFill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9" fontId="42" fillId="10" borderId="7" xfId="1" applyFont="1" applyFill="1" applyBorder="1">
      <alignment vertical="center"/>
    </xf>
    <xf numFmtId="9" fontId="0" fillId="10" borderId="7" xfId="0" applyNumberFormat="1" applyFill="1" applyBorder="1">
      <alignment vertical="center"/>
    </xf>
    <xf numFmtId="0" fontId="0" fillId="10" borderId="0" xfId="0" applyFill="1" applyBorder="1">
      <alignment vertical="center"/>
    </xf>
    <xf numFmtId="0" fontId="0" fillId="10" borderId="9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10" borderId="0" xfId="0" applyFill="1">
      <alignment vertical="center"/>
    </xf>
    <xf numFmtId="0" fontId="0" fillId="0" borderId="10" xfId="0" applyFont="1" applyFill="1" applyBorder="1">
      <alignment vertical="center"/>
    </xf>
    <xf numFmtId="0" fontId="0" fillId="0" borderId="0" xfId="0" applyFont="1" applyBorder="1">
      <alignment vertical="center"/>
    </xf>
    <xf numFmtId="183" fontId="0" fillId="0" borderId="0" xfId="0" applyNumberFormat="1" applyAlignment="1">
      <alignment horizontal="center" vertical="center"/>
    </xf>
    <xf numFmtId="182" fontId="42" fillId="0" borderId="0" xfId="1" applyNumberFormat="1" applyFont="1" applyAlignment="1">
      <alignment horizontal="center" vertical="center"/>
    </xf>
    <xf numFmtId="183" fontId="0" fillId="10" borderId="0" xfId="0" applyNumberFormat="1" applyFill="1" applyAlignment="1">
      <alignment horizontal="center" vertical="center"/>
    </xf>
    <xf numFmtId="0" fontId="46" fillId="0" borderId="0" xfId="0" applyFont="1" applyFill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184" fontId="46" fillId="10" borderId="0" xfId="0" applyNumberFormat="1" applyFont="1" applyFill="1" applyAlignment="1">
      <alignment horizontal="center" vertical="center"/>
    </xf>
    <xf numFmtId="2" fontId="0" fillId="0" borderId="0" xfId="0" applyNumberFormat="1" applyAlignment="1"/>
    <xf numFmtId="0" fontId="47" fillId="0" borderId="26" xfId="0" applyFont="1" applyFill="1" applyBorder="1" applyAlignment="1">
      <alignment vertical="center" wrapText="1"/>
    </xf>
    <xf numFmtId="0" fontId="49" fillId="0" borderId="26" xfId="0" applyFont="1" applyFill="1" applyBorder="1" applyAlignment="1">
      <alignment vertical="center" wrapText="1"/>
    </xf>
    <xf numFmtId="0" fontId="49" fillId="0" borderId="1" xfId="0" applyFont="1" applyFill="1" applyBorder="1" applyAlignment="1">
      <alignment horizontal="center" vertical="center" wrapText="1"/>
    </xf>
    <xf numFmtId="0" fontId="46" fillId="0" borderId="0" xfId="0" applyFont="1" applyFill="1" applyAlignment="1">
      <alignment horizontal="center" vertical="center" wrapText="1"/>
    </xf>
    <xf numFmtId="0" fontId="50" fillId="0" borderId="0" xfId="0" applyFont="1" applyFill="1" applyAlignment="1">
      <alignment horizontal="center" vertical="center" wrapText="1"/>
    </xf>
    <xf numFmtId="0" fontId="46" fillId="0" borderId="4" xfId="0" applyFont="1" applyFill="1" applyBorder="1" applyAlignment="1">
      <alignment horizontal="center" vertical="center" wrapText="1"/>
    </xf>
    <xf numFmtId="0" fontId="0" fillId="0" borderId="6" xfId="0" applyFont="1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46" fillId="10" borderId="0" xfId="0" applyFont="1" applyFill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50" fillId="10" borderId="0" xfId="0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10" fontId="0" fillId="0" borderId="0" xfId="0" applyNumberFormat="1" applyFont="1" applyFill="1" applyBorder="1">
      <alignment vertical="center"/>
    </xf>
    <xf numFmtId="183" fontId="0" fillId="0" borderId="0" xfId="0" applyNumberFormat="1" applyFill="1" applyBorder="1">
      <alignment vertical="center"/>
    </xf>
    <xf numFmtId="0" fontId="0" fillId="10" borderId="5" xfId="0" applyFill="1" applyBorder="1">
      <alignment vertical="center"/>
    </xf>
    <xf numFmtId="9" fontId="42" fillId="10" borderId="5" xfId="1" applyFont="1" applyFill="1" applyBorder="1">
      <alignment vertical="center"/>
    </xf>
    <xf numFmtId="0" fontId="44" fillId="10" borderId="0" xfId="0" applyFont="1" applyFill="1">
      <alignment vertical="center"/>
    </xf>
    <xf numFmtId="0" fontId="42" fillId="0" borderId="0" xfId="0" applyFont="1">
      <alignment vertical="center"/>
    </xf>
    <xf numFmtId="183" fontId="0" fillId="0" borderId="0" xfId="0" applyNumberFormat="1" applyFont="1" applyFill="1" applyBorder="1">
      <alignment vertical="center"/>
    </xf>
    <xf numFmtId="183" fontId="44" fillId="10" borderId="0" xfId="0" applyNumberFormat="1" applyFont="1" applyFill="1" applyBorder="1">
      <alignment vertical="center"/>
    </xf>
    <xf numFmtId="0" fontId="42" fillId="0" borderId="0" xfId="0" applyFont="1" applyBorder="1">
      <alignment vertical="center"/>
    </xf>
    <xf numFmtId="183" fontId="0" fillId="11" borderId="0" xfId="0" applyNumberFormat="1" applyFont="1" applyFill="1" applyBorder="1">
      <alignment vertical="center"/>
    </xf>
    <xf numFmtId="0" fontId="57" fillId="0" borderId="0" xfId="0" applyFont="1">
      <alignment vertical="center"/>
    </xf>
    <xf numFmtId="183" fontId="50" fillId="3" borderId="10" xfId="0" applyNumberFormat="1" applyFont="1" applyFill="1" applyBorder="1" applyAlignment="1">
      <alignment horizontal="center" vertical="center" wrapText="1"/>
    </xf>
    <xf numFmtId="183" fontId="50" fillId="3" borderId="12" xfId="0" applyNumberFormat="1" applyFont="1" applyFill="1" applyBorder="1" applyAlignment="1">
      <alignment horizontal="center" vertical="center" wrapText="1"/>
    </xf>
    <xf numFmtId="0" fontId="5" fillId="0" borderId="0" xfId="3">
      <alignment vertical="center"/>
    </xf>
    <xf numFmtId="0" fontId="5" fillId="0" borderId="0" xfId="3" applyFont="1">
      <alignment vertical="center"/>
    </xf>
    <xf numFmtId="0" fontId="5" fillId="3" borderId="0" xfId="3" applyFill="1">
      <alignment vertical="center"/>
    </xf>
    <xf numFmtId="0" fontId="5" fillId="3" borderId="0" xfId="3" applyFont="1" applyFill="1">
      <alignment vertical="center"/>
    </xf>
    <xf numFmtId="0" fontId="44" fillId="3" borderId="0" xfId="3" applyFont="1" applyFill="1">
      <alignment vertical="center"/>
    </xf>
    <xf numFmtId="0" fontId="5" fillId="9" borderId="0" xfId="3" applyFill="1">
      <alignment vertical="center"/>
    </xf>
    <xf numFmtId="0" fontId="5" fillId="9" borderId="0" xfId="3" applyFont="1" applyFill="1">
      <alignment vertical="center"/>
    </xf>
    <xf numFmtId="57" fontId="5" fillId="9" borderId="0" xfId="3" applyNumberFormat="1" applyFill="1">
      <alignment vertical="center"/>
    </xf>
    <xf numFmtId="0" fontId="65" fillId="0" borderId="0" xfId="3" applyFont="1">
      <alignment vertical="center"/>
    </xf>
    <xf numFmtId="0" fontId="66" fillId="0" borderId="0" xfId="10">
      <alignment vertical="center"/>
    </xf>
    <xf numFmtId="2" fontId="5" fillId="3" borderId="22" xfId="3" applyNumberFormat="1" applyFill="1" applyBorder="1">
      <alignment vertical="center"/>
    </xf>
    <xf numFmtId="0" fontId="5" fillId="0" borderId="0" xfId="3" applyFill="1" applyBorder="1">
      <alignment vertical="center"/>
    </xf>
    <xf numFmtId="0" fontId="5" fillId="0" borderId="20" xfId="3" applyBorder="1">
      <alignment vertical="center"/>
    </xf>
    <xf numFmtId="0" fontId="5" fillId="0" borderId="14" xfId="3" applyBorder="1">
      <alignment vertical="center"/>
    </xf>
    <xf numFmtId="0" fontId="5" fillId="0" borderId="19" xfId="3" applyBorder="1">
      <alignment vertical="center"/>
    </xf>
    <xf numFmtId="0" fontId="5" fillId="0" borderId="18" xfId="3" applyBorder="1">
      <alignment vertical="center"/>
    </xf>
    <xf numFmtId="0" fontId="5" fillId="0" borderId="16" xfId="3" applyBorder="1">
      <alignment vertical="center"/>
    </xf>
    <xf numFmtId="2" fontId="5" fillId="0" borderId="0" xfId="3" applyNumberFormat="1">
      <alignment vertical="center"/>
    </xf>
    <xf numFmtId="1" fontId="5" fillId="0" borderId="0" xfId="3" applyNumberFormat="1">
      <alignment vertical="center"/>
    </xf>
    <xf numFmtId="0" fontId="5" fillId="0" borderId="22" xfId="3" applyBorder="1">
      <alignment vertical="center"/>
    </xf>
    <xf numFmtId="0" fontId="5" fillId="0" borderId="21" xfId="3" applyBorder="1">
      <alignment vertical="center"/>
    </xf>
    <xf numFmtId="2" fontId="5" fillId="0" borderId="20" xfId="3" applyNumberFormat="1" applyBorder="1">
      <alignment vertical="center"/>
    </xf>
    <xf numFmtId="0" fontId="5" fillId="0" borderId="0" xfId="3" applyBorder="1">
      <alignment vertical="center"/>
    </xf>
    <xf numFmtId="0" fontId="5" fillId="0" borderId="17" xfId="3" applyBorder="1">
      <alignment vertical="center"/>
    </xf>
    <xf numFmtId="2" fontId="5" fillId="0" borderId="0" xfId="3" applyNumberFormat="1" applyBorder="1">
      <alignment vertical="center"/>
    </xf>
    <xf numFmtId="176" fontId="5" fillId="0" borderId="0" xfId="3" applyNumberFormat="1">
      <alignment vertical="center"/>
    </xf>
    <xf numFmtId="176" fontId="5" fillId="0" borderId="22" xfId="3" applyNumberFormat="1" applyBorder="1">
      <alignment vertical="center"/>
    </xf>
    <xf numFmtId="176" fontId="5" fillId="0" borderId="21" xfId="3" applyNumberFormat="1" applyBorder="1">
      <alignment vertical="center"/>
    </xf>
    <xf numFmtId="177" fontId="5" fillId="0" borderId="21" xfId="3" applyNumberFormat="1" applyBorder="1">
      <alignment vertical="center"/>
    </xf>
    <xf numFmtId="180" fontId="5" fillId="0" borderId="21" xfId="3" applyNumberFormat="1" applyBorder="1">
      <alignment vertical="center"/>
    </xf>
    <xf numFmtId="176" fontId="5" fillId="0" borderId="14" xfId="3" applyNumberFormat="1" applyBorder="1">
      <alignment vertical="center"/>
    </xf>
    <xf numFmtId="176" fontId="5" fillId="0" borderId="0" xfId="3" applyNumberFormat="1" applyBorder="1">
      <alignment vertical="center"/>
    </xf>
    <xf numFmtId="177" fontId="5" fillId="0" borderId="0" xfId="3" applyNumberFormat="1" applyBorder="1">
      <alignment vertical="center"/>
    </xf>
    <xf numFmtId="180" fontId="5" fillId="0" borderId="0" xfId="3" applyNumberFormat="1" applyBorder="1">
      <alignment vertical="center"/>
    </xf>
    <xf numFmtId="176" fontId="5" fillId="0" borderId="18" xfId="3" applyNumberFormat="1" applyBorder="1">
      <alignment vertical="center"/>
    </xf>
    <xf numFmtId="176" fontId="5" fillId="0" borderId="17" xfId="3" applyNumberFormat="1" applyBorder="1">
      <alignment vertical="center"/>
    </xf>
    <xf numFmtId="177" fontId="5" fillId="0" borderId="17" xfId="3" applyNumberFormat="1" applyBorder="1">
      <alignment vertical="center"/>
    </xf>
    <xf numFmtId="180" fontId="5" fillId="0" borderId="17" xfId="3" applyNumberFormat="1" applyBorder="1">
      <alignment vertical="center"/>
    </xf>
    <xf numFmtId="176" fontId="5" fillId="0" borderId="25" xfId="3" applyNumberFormat="1" applyBorder="1">
      <alignment vertical="center"/>
    </xf>
    <xf numFmtId="176" fontId="5" fillId="0" borderId="24" xfId="3" applyNumberFormat="1" applyBorder="1">
      <alignment vertical="center"/>
    </xf>
    <xf numFmtId="177" fontId="5" fillId="0" borderId="24" xfId="3" applyNumberFormat="1" applyBorder="1">
      <alignment vertical="center"/>
    </xf>
    <xf numFmtId="180" fontId="5" fillId="0" borderId="24" xfId="3" applyNumberFormat="1" applyBorder="1">
      <alignment vertical="center"/>
    </xf>
    <xf numFmtId="0" fontId="5" fillId="0" borderId="24" xfId="3" applyBorder="1">
      <alignment vertical="center"/>
    </xf>
    <xf numFmtId="0" fontId="5" fillId="0" borderId="23" xfId="3" applyBorder="1">
      <alignment vertical="center"/>
    </xf>
    <xf numFmtId="0" fontId="5" fillId="0" borderId="0" xfId="3" applyAlignment="1">
      <alignment vertical="center" wrapText="1"/>
    </xf>
    <xf numFmtId="0" fontId="5" fillId="0" borderId="18" xfId="3" applyBorder="1" applyAlignment="1">
      <alignment vertical="center" wrapText="1"/>
    </xf>
    <xf numFmtId="0" fontId="5" fillId="0" borderId="17" xfId="3" applyBorder="1" applyAlignment="1">
      <alignment vertical="center" wrapText="1"/>
    </xf>
    <xf numFmtId="0" fontId="5" fillId="0" borderId="16" xfId="3" applyBorder="1" applyAlignment="1">
      <alignment vertical="center" wrapText="1"/>
    </xf>
    <xf numFmtId="182" fontId="5" fillId="0" borderId="22" xfId="3" applyNumberFormat="1" applyBorder="1">
      <alignment vertical="center"/>
    </xf>
    <xf numFmtId="182" fontId="0" fillId="0" borderId="21" xfId="11" applyNumberFormat="1" applyFont="1" applyBorder="1">
      <alignment vertical="center"/>
    </xf>
    <xf numFmtId="182" fontId="5" fillId="0" borderId="21" xfId="3" applyNumberFormat="1" applyBorder="1">
      <alignment vertical="center"/>
    </xf>
    <xf numFmtId="182" fontId="5" fillId="0" borderId="14" xfId="3" applyNumberFormat="1" applyBorder="1">
      <alignment vertical="center"/>
    </xf>
    <xf numFmtId="182" fontId="0" fillId="0" borderId="0" xfId="11" applyNumberFormat="1" applyFont="1" applyBorder="1">
      <alignment vertical="center"/>
    </xf>
    <xf numFmtId="182" fontId="5" fillId="0" borderId="0" xfId="3" applyNumberFormat="1" applyBorder="1">
      <alignment vertical="center"/>
    </xf>
    <xf numFmtId="183" fontId="5" fillId="0" borderId="22" xfId="3" applyNumberFormat="1" applyBorder="1">
      <alignment vertical="center"/>
    </xf>
    <xf numFmtId="183" fontId="5" fillId="0" borderId="21" xfId="3" applyNumberFormat="1" applyBorder="1">
      <alignment vertical="center"/>
    </xf>
    <xf numFmtId="183" fontId="5" fillId="0" borderId="14" xfId="3" applyNumberFormat="1" applyBorder="1">
      <alignment vertical="center"/>
    </xf>
    <xf numFmtId="183" fontId="5" fillId="0" borderId="0" xfId="3" applyNumberFormat="1" applyBorder="1">
      <alignment vertical="center"/>
    </xf>
    <xf numFmtId="2" fontId="5" fillId="0" borderId="21" xfId="3" applyNumberFormat="1" applyBorder="1">
      <alignment vertical="center"/>
    </xf>
    <xf numFmtId="182" fontId="0" fillId="0" borderId="14" xfId="11" applyNumberFormat="1" applyFont="1" applyBorder="1">
      <alignment vertical="center"/>
    </xf>
    <xf numFmtId="2" fontId="5" fillId="0" borderId="19" xfId="3" applyNumberFormat="1" applyBorder="1">
      <alignment vertical="center"/>
    </xf>
    <xf numFmtId="183" fontId="5" fillId="0" borderId="20" xfId="3" applyNumberFormat="1" applyBorder="1">
      <alignment vertical="center"/>
    </xf>
    <xf numFmtId="183" fontId="5" fillId="0" borderId="19" xfId="3" applyNumberFormat="1" applyBorder="1">
      <alignment vertical="center"/>
    </xf>
    <xf numFmtId="182" fontId="0" fillId="0" borderId="0" xfId="11" applyNumberFormat="1" applyFont="1">
      <alignment vertical="center"/>
    </xf>
    <xf numFmtId="0" fontId="5" fillId="8" borderId="0" xfId="3" applyFill="1">
      <alignment vertical="center"/>
    </xf>
    <xf numFmtId="189" fontId="5" fillId="0" borderId="0" xfId="3" applyNumberFormat="1">
      <alignment vertical="center"/>
    </xf>
    <xf numFmtId="176" fontId="5" fillId="0" borderId="38" xfId="3" applyNumberFormat="1" applyFill="1" applyBorder="1">
      <alignment vertical="center"/>
    </xf>
    <xf numFmtId="0" fontId="5" fillId="4" borderId="5" xfId="3" applyFill="1" applyBorder="1">
      <alignment vertical="center"/>
    </xf>
    <xf numFmtId="0" fontId="5" fillId="8" borderId="5" xfId="3" applyFill="1" applyBorder="1">
      <alignment vertical="center"/>
    </xf>
    <xf numFmtId="176" fontId="5" fillId="8" borderId="5" xfId="3" applyNumberFormat="1" applyFill="1" applyBorder="1">
      <alignment vertical="center"/>
    </xf>
    <xf numFmtId="176" fontId="5" fillId="4" borderId="5" xfId="3" applyNumberFormat="1" applyFill="1" applyBorder="1">
      <alignment vertical="center"/>
    </xf>
    <xf numFmtId="176" fontId="5" fillId="0" borderId="5" xfId="3" applyNumberFormat="1" applyBorder="1">
      <alignment vertical="center"/>
    </xf>
    <xf numFmtId="182" fontId="5" fillId="0" borderId="5" xfId="3" applyNumberFormat="1" applyBorder="1">
      <alignment vertical="center"/>
    </xf>
    <xf numFmtId="0" fontId="5" fillId="0" borderId="5" xfId="3" applyBorder="1">
      <alignment vertical="center"/>
    </xf>
    <xf numFmtId="182" fontId="5" fillId="3" borderId="5" xfId="3" applyNumberFormat="1" applyFill="1" applyBorder="1">
      <alignment vertical="center"/>
    </xf>
    <xf numFmtId="9" fontId="5" fillId="0" borderId="5" xfId="3" applyNumberFormat="1" applyBorder="1">
      <alignment vertical="center"/>
    </xf>
    <xf numFmtId="176" fontId="58" fillId="3" borderId="5" xfId="3" applyNumberFormat="1" applyFont="1" applyFill="1" applyBorder="1">
      <alignment vertical="center"/>
    </xf>
    <xf numFmtId="176" fontId="59" fillId="4" borderId="5" xfId="3" applyNumberFormat="1" applyFont="1" applyFill="1" applyBorder="1">
      <alignment vertical="center"/>
    </xf>
    <xf numFmtId="0" fontId="5" fillId="4" borderId="5" xfId="3" applyFill="1" applyBorder="1" applyAlignment="1">
      <alignment vertical="center" wrapText="1"/>
    </xf>
    <xf numFmtId="0" fontId="5" fillId="8" borderId="5" xfId="3" applyFill="1" applyBorder="1" applyAlignment="1">
      <alignment vertical="center" wrapText="1"/>
    </xf>
    <xf numFmtId="0" fontId="5" fillId="0" borderId="5" xfId="3" applyBorder="1" applyAlignment="1">
      <alignment vertical="center" wrapText="1"/>
    </xf>
    <xf numFmtId="176" fontId="5" fillId="3" borderId="0" xfId="3" applyNumberFormat="1" applyFill="1">
      <alignment vertical="center"/>
    </xf>
    <xf numFmtId="178" fontId="5" fillId="0" borderId="0" xfId="3" applyNumberFormat="1">
      <alignment vertical="center"/>
    </xf>
    <xf numFmtId="178" fontId="5" fillId="3" borderId="0" xfId="3" applyNumberFormat="1" applyFill="1">
      <alignment vertical="center"/>
    </xf>
    <xf numFmtId="178" fontId="44" fillId="0" borderId="0" xfId="3" applyNumberFormat="1" applyFont="1">
      <alignment vertical="center"/>
    </xf>
    <xf numFmtId="0" fontId="44" fillId="0" borderId="0" xfId="3" applyFont="1">
      <alignment vertical="center"/>
    </xf>
    <xf numFmtId="176" fontId="44" fillId="0" borderId="0" xfId="3" applyNumberFormat="1" applyFont="1">
      <alignment vertical="center"/>
    </xf>
    <xf numFmtId="0" fontId="5" fillId="4" borderId="0" xfId="3" applyFill="1">
      <alignment vertical="center"/>
    </xf>
    <xf numFmtId="176" fontId="5" fillId="4" borderId="0" xfId="3" applyNumberFormat="1" applyFill="1">
      <alignment vertical="center"/>
    </xf>
    <xf numFmtId="178" fontId="5" fillId="4" borderId="0" xfId="3" applyNumberFormat="1" applyFill="1">
      <alignment vertical="center"/>
    </xf>
    <xf numFmtId="178" fontId="44" fillId="4" borderId="0" xfId="3" applyNumberFormat="1" applyFont="1" applyFill="1" applyBorder="1">
      <alignment vertical="center"/>
    </xf>
    <xf numFmtId="176" fontId="5" fillId="4" borderId="0" xfId="3" applyNumberFormat="1" applyFill="1" applyBorder="1">
      <alignment vertical="center"/>
    </xf>
    <xf numFmtId="176" fontId="44" fillId="4" borderId="0" xfId="3" applyNumberFormat="1" applyFont="1" applyFill="1">
      <alignment vertical="center"/>
    </xf>
    <xf numFmtId="0" fontId="44" fillId="4" borderId="0" xfId="3" applyFont="1" applyFill="1">
      <alignment vertical="center"/>
    </xf>
    <xf numFmtId="10" fontId="5" fillId="4" borderId="0" xfId="3" applyNumberFormat="1" applyFill="1">
      <alignment vertical="center"/>
    </xf>
    <xf numFmtId="0" fontId="5" fillId="4" borderId="0" xfId="3" applyFill="1" applyBorder="1">
      <alignment vertical="center"/>
    </xf>
    <xf numFmtId="10" fontId="5" fillId="0" borderId="0" xfId="3" applyNumberFormat="1">
      <alignment vertical="center"/>
    </xf>
    <xf numFmtId="9" fontId="5" fillId="0" borderId="0" xfId="3" applyNumberFormat="1">
      <alignment vertical="center"/>
    </xf>
    <xf numFmtId="178" fontId="44" fillId="0" borderId="0" xfId="3" applyNumberFormat="1" applyFont="1" applyFill="1">
      <alignment vertical="center"/>
    </xf>
    <xf numFmtId="176" fontId="44" fillId="3" borderId="0" xfId="3" applyNumberFormat="1" applyFont="1" applyFill="1">
      <alignment vertical="center"/>
    </xf>
    <xf numFmtId="178" fontId="44" fillId="4" borderId="0" xfId="3" applyNumberFormat="1" applyFont="1" applyFill="1">
      <alignment vertical="center"/>
    </xf>
    <xf numFmtId="183" fontId="44" fillId="4" borderId="0" xfId="3" applyNumberFormat="1" applyFont="1" applyFill="1">
      <alignment vertical="center"/>
    </xf>
    <xf numFmtId="183" fontId="44" fillId="0" borderId="0" xfId="3" applyNumberFormat="1" applyFont="1">
      <alignment vertical="center"/>
    </xf>
    <xf numFmtId="9" fontId="5" fillId="4" borderId="0" xfId="3" applyNumberFormat="1" applyFill="1">
      <alignment vertical="center"/>
    </xf>
    <xf numFmtId="2" fontId="44" fillId="0" borderId="0" xfId="3" applyNumberFormat="1" applyFont="1">
      <alignment vertical="center"/>
    </xf>
    <xf numFmtId="0" fontId="73" fillId="4" borderId="0" xfId="3" applyFont="1" applyFill="1">
      <alignment vertical="center"/>
    </xf>
    <xf numFmtId="178" fontId="73" fillId="4" borderId="0" xfId="3" applyNumberFormat="1" applyFont="1" applyFill="1">
      <alignment vertical="center"/>
    </xf>
    <xf numFmtId="176" fontId="73" fillId="4" borderId="0" xfId="3" applyNumberFormat="1" applyFont="1" applyFill="1">
      <alignment vertical="center"/>
    </xf>
    <xf numFmtId="0" fontId="74" fillId="4" borderId="0" xfId="3" applyFont="1" applyFill="1">
      <alignment vertical="center"/>
    </xf>
    <xf numFmtId="9" fontId="73" fillId="4" borderId="0" xfId="3" applyNumberFormat="1" applyFont="1" applyFill="1">
      <alignment vertical="center"/>
    </xf>
    <xf numFmtId="183" fontId="73" fillId="4" borderId="0" xfId="3" applyNumberFormat="1" applyFont="1" applyFill="1">
      <alignment vertical="center"/>
    </xf>
    <xf numFmtId="178" fontId="5" fillId="0" borderId="0" xfId="3" applyNumberFormat="1" applyAlignment="1">
      <alignment vertical="center" wrapText="1"/>
    </xf>
    <xf numFmtId="176" fontId="5" fillId="3" borderId="0" xfId="3" applyNumberFormat="1" applyFill="1" applyAlignment="1">
      <alignment vertical="center" wrapText="1"/>
    </xf>
    <xf numFmtId="178" fontId="5" fillId="3" borderId="0" xfId="3" applyNumberFormat="1" applyFill="1" applyAlignment="1">
      <alignment vertical="center" wrapText="1"/>
    </xf>
    <xf numFmtId="176" fontId="5" fillId="0" borderId="0" xfId="3" applyNumberFormat="1" applyAlignment="1">
      <alignment vertical="center" wrapText="1"/>
    </xf>
    <xf numFmtId="178" fontId="58" fillId="0" borderId="0" xfId="3" applyNumberFormat="1" applyFont="1" applyAlignment="1">
      <alignment vertical="center" wrapText="1"/>
    </xf>
    <xf numFmtId="0" fontId="58" fillId="0" borderId="0" xfId="3" applyFont="1" applyAlignment="1">
      <alignment vertical="center" wrapText="1"/>
    </xf>
    <xf numFmtId="176" fontId="44" fillId="0" borderId="0" xfId="3" applyNumberFormat="1" applyFont="1" applyAlignment="1">
      <alignment vertical="center" wrapText="1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0" fontId="42" fillId="0" borderId="0" xfId="1" applyNumberFormat="1" applyFont="1" applyBorder="1">
      <alignment vertical="center"/>
    </xf>
    <xf numFmtId="2" fontId="0" fillId="0" borderId="9" xfId="0" applyNumberForma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42" fillId="0" borderId="7" xfId="0" applyFont="1" applyBorder="1">
      <alignment vertical="center"/>
    </xf>
    <xf numFmtId="0" fontId="42" fillId="0" borderId="0" xfId="0" applyFont="1" applyFill="1" applyBorder="1">
      <alignment vertical="center"/>
    </xf>
    <xf numFmtId="0" fontId="42" fillId="0" borderId="1" xfId="0" applyFont="1" applyFill="1" applyBorder="1">
      <alignment vertical="center"/>
    </xf>
    <xf numFmtId="182" fontId="0" fillId="0" borderId="0" xfId="1" applyNumberFormat="1" applyFont="1" applyBorder="1">
      <alignment vertical="center"/>
    </xf>
    <xf numFmtId="182" fontId="0" fillId="0" borderId="1" xfId="1" applyNumberFormat="1" applyFont="1" applyBorder="1">
      <alignment vertical="center"/>
    </xf>
    <xf numFmtId="0" fontId="44" fillId="0" borderId="0" xfId="0" applyFont="1" applyAlignment="1"/>
    <xf numFmtId="0" fontId="4" fillId="0" borderId="5" xfId="3" applyFont="1" applyBorder="1">
      <alignment vertical="center"/>
    </xf>
    <xf numFmtId="0" fontId="4" fillId="0" borderId="5" xfId="3" applyFont="1" applyBorder="1" applyAlignment="1">
      <alignment vertical="center" wrapText="1"/>
    </xf>
    <xf numFmtId="0" fontId="4" fillId="8" borderId="5" xfId="3" applyFont="1" applyFill="1" applyBorder="1" applyAlignment="1">
      <alignment vertical="center" wrapText="1"/>
    </xf>
    <xf numFmtId="0" fontId="4" fillId="0" borderId="0" xfId="3" applyFont="1">
      <alignment vertical="center"/>
    </xf>
    <xf numFmtId="10" fontId="73" fillId="4" borderId="0" xfId="3" applyNumberFormat="1" applyFont="1" applyFill="1">
      <alignment vertical="center"/>
    </xf>
    <xf numFmtId="0" fontId="73" fillId="4" borderId="0" xfId="3" applyFont="1" applyFill="1" applyBorder="1">
      <alignment vertical="center"/>
    </xf>
    <xf numFmtId="0" fontId="74" fillId="4" borderId="0" xfId="3" applyFont="1" applyFill="1" applyAlignment="1">
      <alignment vertical="center" wrapText="1"/>
    </xf>
    <xf numFmtId="183" fontId="5" fillId="0" borderId="0" xfId="3" applyNumberFormat="1">
      <alignment vertical="center"/>
    </xf>
    <xf numFmtId="183" fontId="74" fillId="4" borderId="0" xfId="3" applyNumberFormat="1" applyFont="1" applyFill="1">
      <alignment vertical="center"/>
    </xf>
    <xf numFmtId="183" fontId="5" fillId="4" borderId="0" xfId="3" applyNumberFormat="1" applyFill="1">
      <alignment vertical="center"/>
    </xf>
    <xf numFmtId="10" fontId="4" fillId="0" borderId="0" xfId="3" applyNumberFormat="1" applyFont="1">
      <alignment vertical="center"/>
    </xf>
    <xf numFmtId="0" fontId="15" fillId="0" borderId="33" xfId="0" applyFont="1" applyFill="1" applyBorder="1" applyAlignment="1">
      <alignment horizontal="center" vertical="center" wrapText="1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9" xfId="0" applyFont="1" applyBorder="1">
      <alignment vertical="center"/>
    </xf>
    <xf numFmtId="176" fontId="0" fillId="0" borderId="14" xfId="0" applyNumberFormat="1" applyBorder="1">
      <alignment vertical="center"/>
    </xf>
    <xf numFmtId="184" fontId="44" fillId="0" borderId="0" xfId="3" applyNumberFormat="1" applyFont="1">
      <alignment vertical="center"/>
    </xf>
    <xf numFmtId="0" fontId="16" fillId="0" borderId="0" xfId="0" applyFont="1" applyBorder="1">
      <alignment vertical="center"/>
    </xf>
    <xf numFmtId="0" fontId="42" fillId="0" borderId="16" xfId="0" applyFont="1" applyBorder="1">
      <alignment vertical="center"/>
    </xf>
    <xf numFmtId="0" fontId="42" fillId="0" borderId="18" xfId="0" applyFont="1" applyBorder="1">
      <alignment vertical="center"/>
    </xf>
    <xf numFmtId="186" fontId="0" fillId="0" borderId="21" xfId="0" applyNumberFormat="1" applyBorder="1">
      <alignment vertical="center"/>
    </xf>
    <xf numFmtId="186" fontId="0" fillId="0" borderId="22" xfId="0" applyNumberFormat="1" applyBorder="1">
      <alignment vertical="center"/>
    </xf>
    <xf numFmtId="0" fontId="42" fillId="0" borderId="17" xfId="0" applyFont="1" applyBorder="1">
      <alignment vertical="center"/>
    </xf>
    <xf numFmtId="2" fontId="0" fillId="0" borderId="14" xfId="0" applyNumberFormat="1" applyBorder="1">
      <alignment vertical="center"/>
    </xf>
    <xf numFmtId="184" fontId="0" fillId="0" borderId="17" xfId="0" applyNumberFormat="1" applyBorder="1">
      <alignment vertical="center"/>
    </xf>
    <xf numFmtId="182" fontId="0" fillId="0" borderId="0" xfId="1" applyNumberFormat="1" applyFont="1">
      <alignment vertical="center"/>
    </xf>
    <xf numFmtId="184" fontId="42" fillId="0" borderId="0" xfId="0" applyNumberFormat="1" applyFont="1" applyBorder="1">
      <alignment vertical="center"/>
    </xf>
    <xf numFmtId="176" fontId="0" fillId="0" borderId="22" xfId="0" applyNumberFormat="1" applyBorder="1">
      <alignment vertical="center"/>
    </xf>
    <xf numFmtId="1" fontId="0" fillId="0" borderId="5" xfId="0" applyNumberFormat="1" applyBorder="1">
      <alignment vertical="center"/>
    </xf>
    <xf numFmtId="0" fontId="42" fillId="0" borderId="8" xfId="0" applyFont="1" applyBorder="1">
      <alignment vertical="center"/>
    </xf>
    <xf numFmtId="0" fontId="42" fillId="0" borderId="10" xfId="0" applyFont="1" applyBorder="1">
      <alignment vertical="center"/>
    </xf>
    <xf numFmtId="0" fontId="42" fillId="0" borderId="1" xfId="0" applyFont="1" applyBorder="1">
      <alignment vertical="center"/>
    </xf>
    <xf numFmtId="0" fontId="0" fillId="0" borderId="9" xfId="0" applyFill="1" applyBorder="1">
      <alignment vertical="center"/>
    </xf>
    <xf numFmtId="0" fontId="0" fillId="0" borderId="11" xfId="0" applyFill="1" applyBorder="1">
      <alignment vertical="center"/>
    </xf>
    <xf numFmtId="2" fontId="0" fillId="0" borderId="1" xfId="0" applyNumberFormat="1" applyBorder="1">
      <alignment vertical="center"/>
    </xf>
    <xf numFmtId="0" fontId="42" fillId="0" borderId="12" xfId="0" applyFont="1" applyBorder="1">
      <alignment vertical="center"/>
    </xf>
    <xf numFmtId="0" fontId="74" fillId="8" borderId="5" xfId="3" applyFont="1" applyFill="1" applyBorder="1" applyAlignment="1">
      <alignment vertical="center" wrapText="1"/>
    </xf>
    <xf numFmtId="0" fontId="73" fillId="8" borderId="5" xfId="3" applyFont="1" applyFill="1" applyBorder="1">
      <alignment vertical="center"/>
    </xf>
    <xf numFmtId="176" fontId="73" fillId="8" borderId="5" xfId="3" applyNumberFormat="1" applyFont="1" applyFill="1" applyBorder="1">
      <alignment vertical="center"/>
    </xf>
    <xf numFmtId="0" fontId="73" fillId="8" borderId="0" xfId="0" applyFont="1" applyFill="1">
      <alignment vertical="center"/>
    </xf>
    <xf numFmtId="2" fontId="5" fillId="3" borderId="0" xfId="3" applyNumberFormat="1" applyFill="1" applyBorder="1">
      <alignment vertical="center"/>
    </xf>
    <xf numFmtId="0" fontId="3" fillId="8" borderId="5" xfId="3" applyFont="1" applyFill="1" applyBorder="1" applyAlignment="1">
      <alignment vertical="center" wrapText="1"/>
    </xf>
    <xf numFmtId="183" fontId="0" fillId="0" borderId="1" xfId="0" applyNumberFormat="1" applyBorder="1">
      <alignment vertical="center"/>
    </xf>
    <xf numFmtId="183" fontId="0" fillId="0" borderId="12" xfId="0" applyNumberFormat="1" applyBorder="1">
      <alignment vertical="center"/>
    </xf>
    <xf numFmtId="0" fontId="42" fillId="3" borderId="0" xfId="0" applyFont="1" applyFill="1">
      <alignment vertical="center"/>
    </xf>
    <xf numFmtId="0" fontId="3" fillId="3" borderId="0" xfId="3" applyFont="1" applyFill="1">
      <alignment vertical="center"/>
    </xf>
    <xf numFmtId="2" fontId="0" fillId="0" borderId="9" xfId="0" applyNumberFormat="1" applyBorder="1">
      <alignment vertical="center"/>
    </xf>
    <xf numFmtId="2" fontId="0" fillId="0" borderId="11" xfId="0" applyNumberFormat="1" applyBorder="1">
      <alignment vertical="center"/>
    </xf>
    <xf numFmtId="0" fontId="2" fillId="0" borderId="0" xfId="3" applyFont="1">
      <alignment vertical="center"/>
    </xf>
    <xf numFmtId="190" fontId="0" fillId="0" borderId="0" xfId="0" applyNumberFormat="1">
      <alignment vertical="center"/>
    </xf>
    <xf numFmtId="0" fontId="10" fillId="0" borderId="0" xfId="0" applyFont="1" applyAlignment="1">
      <alignment vertical="top" wrapText="1"/>
    </xf>
    <xf numFmtId="0" fontId="46" fillId="0" borderId="26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3" xfId="0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/>
    </xf>
    <xf numFmtId="0" fontId="8" fillId="2" borderId="2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vertical="center" wrapText="1"/>
    </xf>
    <xf numFmtId="0" fontId="8" fillId="2" borderId="33" xfId="0" applyFont="1" applyFill="1" applyBorder="1" applyAlignment="1">
      <alignment vertical="center" wrapText="1"/>
    </xf>
    <xf numFmtId="0" fontId="8" fillId="2" borderId="34" xfId="0" applyFont="1" applyFill="1" applyBorder="1" applyAlignment="1">
      <alignment vertical="center" wrapText="1"/>
    </xf>
    <xf numFmtId="0" fontId="8" fillId="2" borderId="16" xfId="0" applyFont="1" applyFill="1" applyBorder="1" applyAlignment="1">
      <alignment vertical="center" wrapText="1"/>
    </xf>
    <xf numFmtId="0" fontId="8" fillId="2" borderId="30" xfId="0" applyFont="1" applyFill="1" applyBorder="1" applyAlignment="1">
      <alignment vertical="center" wrapText="1"/>
    </xf>
    <xf numFmtId="0" fontId="8" fillId="2" borderId="17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 wrapText="1"/>
    </xf>
    <xf numFmtId="0" fontId="44" fillId="0" borderId="6" xfId="0" applyFont="1" applyBorder="1">
      <alignment vertical="center"/>
    </xf>
    <xf numFmtId="0" fontId="44" fillId="0" borderId="7" xfId="0" applyFont="1" applyBorder="1">
      <alignment vertical="center"/>
    </xf>
    <xf numFmtId="2" fontId="44" fillId="0" borderId="0" xfId="0" applyNumberFormat="1" applyFont="1" applyBorder="1">
      <alignment vertical="center"/>
    </xf>
    <xf numFmtId="2" fontId="44" fillId="0" borderId="10" xfId="0" applyNumberFormat="1" applyFont="1" applyBorder="1">
      <alignment vertical="center"/>
    </xf>
    <xf numFmtId="0" fontId="44" fillId="0" borderId="8" xfId="0" applyFont="1" applyBorder="1">
      <alignment vertical="center"/>
    </xf>
    <xf numFmtId="0" fontId="44" fillId="0" borderId="0" xfId="0" applyFont="1" applyFill="1" applyBorder="1">
      <alignment vertical="center"/>
    </xf>
    <xf numFmtId="2" fontId="44" fillId="0" borderId="1" xfId="0" applyNumberFormat="1" applyFont="1" applyBorder="1">
      <alignment vertical="center"/>
    </xf>
    <xf numFmtId="2" fontId="44" fillId="0" borderId="12" xfId="0" applyNumberFormat="1" applyFont="1" applyBorder="1">
      <alignment vertical="center"/>
    </xf>
    <xf numFmtId="0" fontId="58" fillId="0" borderId="19" xfId="3" applyFont="1" applyBorder="1">
      <alignment vertical="center"/>
    </xf>
    <xf numFmtId="0" fontId="44" fillId="0" borderId="0" xfId="3" applyFont="1" applyBorder="1">
      <alignment vertical="center"/>
    </xf>
    <xf numFmtId="0" fontId="44" fillId="0" borderId="19" xfId="3" applyFont="1" applyBorder="1">
      <alignment vertical="center"/>
    </xf>
    <xf numFmtId="2" fontId="44" fillId="0" borderId="0" xfId="3" applyNumberFormat="1" applyFont="1" applyBorder="1">
      <alignment vertical="center"/>
    </xf>
    <xf numFmtId="0" fontId="44" fillId="0" borderId="16" xfId="3" applyFont="1" applyBorder="1">
      <alignment vertical="center"/>
    </xf>
    <xf numFmtId="0" fontId="44" fillId="0" borderId="17" xfId="3" applyFont="1" applyBorder="1">
      <alignment vertical="center"/>
    </xf>
    <xf numFmtId="2" fontId="44" fillId="0" borderId="20" xfId="3" applyNumberFormat="1" applyFont="1" applyBorder="1">
      <alignment vertical="center"/>
    </xf>
    <xf numFmtId="0" fontId="44" fillId="0" borderId="21" xfId="3" applyFont="1" applyBorder="1">
      <alignment vertical="center"/>
    </xf>
    <xf numFmtId="0" fontId="44" fillId="0" borderId="20" xfId="3" applyFont="1" applyBorder="1">
      <alignment vertical="center"/>
    </xf>
  </cellXfs>
  <cellStyles count="12">
    <cellStyle name="百分比" xfId="1" builtinId="5"/>
    <cellStyle name="百分比 2" xfId="4"/>
    <cellStyle name="百分比 3" xfId="11"/>
    <cellStyle name="常规" xfId="0" builtinId="0"/>
    <cellStyle name="常规 2" xfId="3"/>
    <cellStyle name="常规 3" xfId="5"/>
    <cellStyle name="常规 4" xfId="6"/>
    <cellStyle name="超链接" xfId="2" builtinId="8"/>
    <cellStyle name="超链接 2" xfId="7"/>
    <cellStyle name="超链接 3" xfId="10"/>
    <cellStyle name="千位分隔 2" xfId="8"/>
    <cellStyle name="千位分隔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不同车用燃料的全生命周期温室气体排放</a:t>
            </a:r>
            <a:r>
              <a:rPr lang="en-US" altLang="zh-CN"/>
              <a:t>(g/km)</a:t>
            </a:r>
            <a:endParaRPr lang="zh-CN" alt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'vehicle summary'!$E$151</c:f>
              <c:strCache>
                <c:ptCount val="1"/>
                <c:pt idx="0">
                  <c:v>原料开采/种植采收</c:v>
                </c:pt>
              </c:strCache>
            </c:strRef>
          </c:tx>
          <c:cat>
            <c:multiLvlStrRef>
              <c:f>'vehicle summary'!$C$152:$D$166</c:f>
              <c:multiLvlStrCache>
                <c:ptCount val="15"/>
                <c:lvl>
                  <c:pt idx="0">
                    <c:v>国产汽油</c:v>
                  </c:pt>
                  <c:pt idx="1">
                    <c:v>国产柴油</c:v>
                  </c:pt>
                  <c:pt idx="3">
                    <c:v>国产CNG</c:v>
                  </c:pt>
                  <c:pt idx="4">
                    <c:v>进口LNG</c:v>
                  </c:pt>
                  <c:pt idx="5">
                    <c:v>国产气田产LNG</c:v>
                  </c:pt>
                  <c:pt idx="6">
                    <c:v>管输气产LNG</c:v>
                  </c:pt>
                  <c:pt idx="8">
                    <c:v>玉米燃料乙醇</c:v>
                  </c:pt>
                  <c:pt idx="9">
                    <c:v>小桐子制取生物柴油</c:v>
                  </c:pt>
                  <c:pt idx="11">
                    <c:v>煤电分阶段</c:v>
                  </c:pt>
                  <c:pt idx="12">
                    <c:v>气电分阶段</c:v>
                  </c:pt>
                  <c:pt idx="13">
                    <c:v>油电分阶段</c:v>
                  </c:pt>
                  <c:pt idx="14">
                    <c:v>网电分阶段</c:v>
                  </c:pt>
                </c:lvl>
                <c:lvl>
                  <c:pt idx="0">
                    <c:v>汽油车</c:v>
                  </c:pt>
                  <c:pt idx="1">
                    <c:v>柴油车</c:v>
                  </c:pt>
                  <c:pt idx="3">
                    <c:v>CNG车</c:v>
                  </c:pt>
                  <c:pt idx="4">
                    <c:v>LNG车</c:v>
                  </c:pt>
                  <c:pt idx="8">
                    <c:v>乙醇车</c:v>
                  </c:pt>
                  <c:pt idx="9">
                    <c:v>生物柴油车</c:v>
                  </c:pt>
                  <c:pt idx="11">
                    <c:v>纯电动车</c:v>
                  </c:pt>
                </c:lvl>
              </c:multiLvlStrCache>
            </c:multiLvlStrRef>
          </c:cat>
          <c:val>
            <c:numRef>
              <c:f>'vehicle summary'!$E$152:$E$166</c:f>
              <c:numCache>
                <c:formatCode>0.0</c:formatCode>
                <c:ptCount val="15"/>
                <c:pt idx="0">
                  <c:v>21.098345324297039</c:v>
                </c:pt>
                <c:pt idx="1">
                  <c:v>19.071069534440674</c:v>
                </c:pt>
                <c:pt idx="3" formatCode="0.00">
                  <c:v>22.622324760971793</c:v>
                </c:pt>
                <c:pt idx="4" formatCode="0.00">
                  <c:v>21.595077634271565</c:v>
                </c:pt>
                <c:pt idx="5" formatCode="0.00">
                  <c:v>21.595077634271565</c:v>
                </c:pt>
                <c:pt idx="6" formatCode="0.00">
                  <c:v>21.595077634271565</c:v>
                </c:pt>
                <c:pt idx="8" formatCode="0.00">
                  <c:v>62.5776177443188</c:v>
                </c:pt>
                <c:pt idx="9" formatCode="0.00">
                  <c:v>26.88786370469969</c:v>
                </c:pt>
                <c:pt idx="11" formatCode="0.00">
                  <c:v>41.909013959760365</c:v>
                </c:pt>
                <c:pt idx="12" formatCode="0.00">
                  <c:v>17.297440829746449</c:v>
                </c:pt>
                <c:pt idx="13" formatCode="0.00">
                  <c:v>22.573064923413664</c:v>
                </c:pt>
                <c:pt idx="14" formatCode="0.00">
                  <c:v>33.361418857623725</c:v>
                </c:pt>
              </c:numCache>
            </c:numRef>
          </c:val>
        </c:ser>
        <c:ser>
          <c:idx val="1"/>
          <c:order val="1"/>
          <c:tx>
            <c:strRef>
              <c:f>'vehicle summary'!$F$151</c:f>
              <c:strCache>
                <c:ptCount val="1"/>
                <c:pt idx="0">
                  <c:v>原料运输</c:v>
                </c:pt>
              </c:strCache>
            </c:strRef>
          </c:tx>
          <c:cat>
            <c:multiLvlStrRef>
              <c:f>'vehicle summary'!$C$152:$D$166</c:f>
              <c:multiLvlStrCache>
                <c:ptCount val="15"/>
                <c:lvl>
                  <c:pt idx="0">
                    <c:v>国产汽油</c:v>
                  </c:pt>
                  <c:pt idx="1">
                    <c:v>国产柴油</c:v>
                  </c:pt>
                  <c:pt idx="3">
                    <c:v>国产CNG</c:v>
                  </c:pt>
                  <c:pt idx="4">
                    <c:v>进口LNG</c:v>
                  </c:pt>
                  <c:pt idx="5">
                    <c:v>国产气田产LNG</c:v>
                  </c:pt>
                  <c:pt idx="6">
                    <c:v>管输气产LNG</c:v>
                  </c:pt>
                  <c:pt idx="8">
                    <c:v>玉米燃料乙醇</c:v>
                  </c:pt>
                  <c:pt idx="9">
                    <c:v>小桐子制取生物柴油</c:v>
                  </c:pt>
                  <c:pt idx="11">
                    <c:v>煤电分阶段</c:v>
                  </c:pt>
                  <c:pt idx="12">
                    <c:v>气电分阶段</c:v>
                  </c:pt>
                  <c:pt idx="13">
                    <c:v>油电分阶段</c:v>
                  </c:pt>
                  <c:pt idx="14">
                    <c:v>网电分阶段</c:v>
                  </c:pt>
                </c:lvl>
                <c:lvl>
                  <c:pt idx="0">
                    <c:v>汽油车</c:v>
                  </c:pt>
                  <c:pt idx="1">
                    <c:v>柴油车</c:v>
                  </c:pt>
                  <c:pt idx="3">
                    <c:v>CNG车</c:v>
                  </c:pt>
                  <c:pt idx="4">
                    <c:v>LNG车</c:v>
                  </c:pt>
                  <c:pt idx="8">
                    <c:v>乙醇车</c:v>
                  </c:pt>
                  <c:pt idx="9">
                    <c:v>生物柴油车</c:v>
                  </c:pt>
                  <c:pt idx="11">
                    <c:v>纯电动车</c:v>
                  </c:pt>
                </c:lvl>
              </c:multiLvlStrCache>
            </c:multiLvlStrRef>
          </c:cat>
          <c:val>
            <c:numRef>
              <c:f>'vehicle summary'!$F$152:$F$166</c:f>
              <c:numCache>
                <c:formatCode>0.0</c:formatCode>
                <c:ptCount val="15"/>
                <c:pt idx="0">
                  <c:v>3.7742850289552874</c:v>
                </c:pt>
                <c:pt idx="1">
                  <c:v>3.4116254674774091</c:v>
                </c:pt>
                <c:pt idx="3" formatCode="0.00">
                  <c:v>0.53183073249869395</c:v>
                </c:pt>
                <c:pt idx="4" formatCode="0.00">
                  <c:v>17.975573956746665</c:v>
                </c:pt>
                <c:pt idx="5" formatCode="0.00">
                  <c:v>0</c:v>
                </c:pt>
                <c:pt idx="6" formatCode="0.00">
                  <c:v>2.5378751024372432</c:v>
                </c:pt>
                <c:pt idx="8" formatCode="0.00">
                  <c:v>6.0007335996441276</c:v>
                </c:pt>
                <c:pt idx="9" formatCode="0.00">
                  <c:v>8.8883433714890945</c:v>
                </c:pt>
                <c:pt idx="11" formatCode="0.00">
                  <c:v>2.824272520263897</c:v>
                </c:pt>
                <c:pt idx="12" formatCode="0.00">
                  <c:v>2.0328125307605864</c:v>
                </c:pt>
                <c:pt idx="13" formatCode="0.00">
                  <c:v>3.9169548273988681</c:v>
                </c:pt>
                <c:pt idx="14" formatCode="0.00">
                  <c:v>2.346977163339885</c:v>
                </c:pt>
              </c:numCache>
            </c:numRef>
          </c:val>
        </c:ser>
        <c:ser>
          <c:idx val="2"/>
          <c:order val="2"/>
          <c:tx>
            <c:strRef>
              <c:f>'vehicle summary'!$G$151</c:f>
              <c:strCache>
                <c:ptCount val="1"/>
                <c:pt idx="0">
                  <c:v>燃料制取</c:v>
                </c:pt>
              </c:strCache>
            </c:strRef>
          </c:tx>
          <c:cat>
            <c:multiLvlStrRef>
              <c:f>'vehicle summary'!$C$152:$D$166</c:f>
              <c:multiLvlStrCache>
                <c:ptCount val="15"/>
                <c:lvl>
                  <c:pt idx="0">
                    <c:v>国产汽油</c:v>
                  </c:pt>
                  <c:pt idx="1">
                    <c:v>国产柴油</c:v>
                  </c:pt>
                  <c:pt idx="3">
                    <c:v>国产CNG</c:v>
                  </c:pt>
                  <c:pt idx="4">
                    <c:v>进口LNG</c:v>
                  </c:pt>
                  <c:pt idx="5">
                    <c:v>国产气田产LNG</c:v>
                  </c:pt>
                  <c:pt idx="6">
                    <c:v>管输气产LNG</c:v>
                  </c:pt>
                  <c:pt idx="8">
                    <c:v>玉米燃料乙醇</c:v>
                  </c:pt>
                  <c:pt idx="9">
                    <c:v>小桐子制取生物柴油</c:v>
                  </c:pt>
                  <c:pt idx="11">
                    <c:v>煤电分阶段</c:v>
                  </c:pt>
                  <c:pt idx="12">
                    <c:v>气电分阶段</c:v>
                  </c:pt>
                  <c:pt idx="13">
                    <c:v>油电分阶段</c:v>
                  </c:pt>
                  <c:pt idx="14">
                    <c:v>网电分阶段</c:v>
                  </c:pt>
                </c:lvl>
                <c:lvl>
                  <c:pt idx="0">
                    <c:v>汽油车</c:v>
                  </c:pt>
                  <c:pt idx="1">
                    <c:v>柴油车</c:v>
                  </c:pt>
                  <c:pt idx="3">
                    <c:v>CNG车</c:v>
                  </c:pt>
                  <c:pt idx="4">
                    <c:v>LNG车</c:v>
                  </c:pt>
                  <c:pt idx="8">
                    <c:v>乙醇车</c:v>
                  </c:pt>
                  <c:pt idx="9">
                    <c:v>生物柴油车</c:v>
                  </c:pt>
                  <c:pt idx="11">
                    <c:v>纯电动车</c:v>
                  </c:pt>
                </c:lvl>
              </c:multiLvlStrCache>
            </c:multiLvlStrRef>
          </c:cat>
          <c:val>
            <c:numRef>
              <c:f>'vehicle summary'!$G$152:$G$166</c:f>
              <c:numCache>
                <c:formatCode>0.0</c:formatCode>
                <c:ptCount val="15"/>
                <c:pt idx="0">
                  <c:v>24.668041218458757</c:v>
                </c:pt>
                <c:pt idx="1">
                  <c:v>21.212252324826945</c:v>
                </c:pt>
                <c:pt idx="3" formatCode="0.00">
                  <c:v>18.838914710499296</c:v>
                </c:pt>
                <c:pt idx="4" formatCode="0.00">
                  <c:v>4.8268480232717632</c:v>
                </c:pt>
                <c:pt idx="5" formatCode="0.00">
                  <c:v>28.599876003380963</c:v>
                </c:pt>
                <c:pt idx="6" formatCode="0.00">
                  <c:v>28.575391331758144</c:v>
                </c:pt>
                <c:pt idx="8" formatCode="0.00">
                  <c:v>147.23229676856985</c:v>
                </c:pt>
                <c:pt idx="9" formatCode="0.00">
                  <c:v>42.294665834966906</c:v>
                </c:pt>
                <c:pt idx="11" formatCode="0.00">
                  <c:v>206.71469560411191</c:v>
                </c:pt>
                <c:pt idx="12" formatCode="0.00">
                  <c:v>114.66288668814381</c:v>
                </c:pt>
                <c:pt idx="13" formatCode="0.00">
                  <c:v>236.85381830565748</c:v>
                </c:pt>
                <c:pt idx="14" formatCode="0.00">
                  <c:v>170.64448011521247</c:v>
                </c:pt>
              </c:numCache>
            </c:numRef>
          </c:val>
        </c:ser>
        <c:ser>
          <c:idx val="3"/>
          <c:order val="3"/>
          <c:tx>
            <c:strRef>
              <c:f>'vehicle summary'!$H$151</c:f>
              <c:strCache>
                <c:ptCount val="1"/>
                <c:pt idx="0">
                  <c:v>燃料输配</c:v>
                </c:pt>
              </c:strCache>
            </c:strRef>
          </c:tx>
          <c:cat>
            <c:multiLvlStrRef>
              <c:f>'vehicle summary'!$C$152:$D$166</c:f>
              <c:multiLvlStrCache>
                <c:ptCount val="15"/>
                <c:lvl>
                  <c:pt idx="0">
                    <c:v>国产汽油</c:v>
                  </c:pt>
                  <c:pt idx="1">
                    <c:v>国产柴油</c:v>
                  </c:pt>
                  <c:pt idx="3">
                    <c:v>国产CNG</c:v>
                  </c:pt>
                  <c:pt idx="4">
                    <c:v>进口LNG</c:v>
                  </c:pt>
                  <c:pt idx="5">
                    <c:v>国产气田产LNG</c:v>
                  </c:pt>
                  <c:pt idx="6">
                    <c:v>管输气产LNG</c:v>
                  </c:pt>
                  <c:pt idx="8">
                    <c:v>玉米燃料乙醇</c:v>
                  </c:pt>
                  <c:pt idx="9">
                    <c:v>小桐子制取生物柴油</c:v>
                  </c:pt>
                  <c:pt idx="11">
                    <c:v>煤电分阶段</c:v>
                  </c:pt>
                  <c:pt idx="12">
                    <c:v>气电分阶段</c:v>
                  </c:pt>
                  <c:pt idx="13">
                    <c:v>油电分阶段</c:v>
                  </c:pt>
                  <c:pt idx="14">
                    <c:v>网电分阶段</c:v>
                  </c:pt>
                </c:lvl>
                <c:lvl>
                  <c:pt idx="0">
                    <c:v>汽油车</c:v>
                  </c:pt>
                  <c:pt idx="1">
                    <c:v>柴油车</c:v>
                  </c:pt>
                  <c:pt idx="3">
                    <c:v>CNG车</c:v>
                  </c:pt>
                  <c:pt idx="4">
                    <c:v>LNG车</c:v>
                  </c:pt>
                  <c:pt idx="8">
                    <c:v>乙醇车</c:v>
                  </c:pt>
                  <c:pt idx="9">
                    <c:v>生物柴油车</c:v>
                  </c:pt>
                  <c:pt idx="11">
                    <c:v>纯电动车</c:v>
                  </c:pt>
                </c:lvl>
              </c:multiLvlStrCache>
            </c:multiLvlStrRef>
          </c:cat>
          <c:val>
            <c:numRef>
              <c:f>'vehicle summary'!$H$152:$H$166</c:f>
              <c:numCache>
                <c:formatCode>0.0</c:formatCode>
                <c:ptCount val="15"/>
                <c:pt idx="0">
                  <c:v>2.5316118243974102</c:v>
                </c:pt>
                <c:pt idx="1">
                  <c:v>2.1792493226103931</c:v>
                </c:pt>
                <c:pt idx="3" formatCode="0.00">
                  <c:v>0</c:v>
                </c:pt>
                <c:pt idx="4" formatCode="0.00">
                  <c:v>1.2070005788692726</c:v>
                </c:pt>
                <c:pt idx="5" formatCode="0.00">
                  <c:v>1.2070005788692726</c:v>
                </c:pt>
                <c:pt idx="6" formatCode="0.00">
                  <c:v>1.2070005788692726</c:v>
                </c:pt>
                <c:pt idx="8" formatCode="0.00">
                  <c:v>3.4006630058081502</c:v>
                </c:pt>
                <c:pt idx="9" formatCode="0.00">
                  <c:v>1.4089774021361878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</c:numCache>
            </c:numRef>
          </c:val>
        </c:ser>
        <c:ser>
          <c:idx val="4"/>
          <c:order val="4"/>
          <c:tx>
            <c:strRef>
              <c:f>'vehicle summary'!$I$151</c:f>
              <c:strCache>
                <c:ptCount val="1"/>
                <c:pt idx="0">
                  <c:v>燃料使用</c:v>
                </c:pt>
              </c:strCache>
            </c:strRef>
          </c:tx>
          <c:cat>
            <c:multiLvlStrRef>
              <c:f>'vehicle summary'!$C$152:$D$166</c:f>
              <c:multiLvlStrCache>
                <c:ptCount val="15"/>
                <c:lvl>
                  <c:pt idx="0">
                    <c:v>国产汽油</c:v>
                  </c:pt>
                  <c:pt idx="1">
                    <c:v>国产柴油</c:v>
                  </c:pt>
                  <c:pt idx="3">
                    <c:v>国产CNG</c:v>
                  </c:pt>
                  <c:pt idx="4">
                    <c:v>进口LNG</c:v>
                  </c:pt>
                  <c:pt idx="5">
                    <c:v>国产气田产LNG</c:v>
                  </c:pt>
                  <c:pt idx="6">
                    <c:v>管输气产LNG</c:v>
                  </c:pt>
                  <c:pt idx="8">
                    <c:v>玉米燃料乙醇</c:v>
                  </c:pt>
                  <c:pt idx="9">
                    <c:v>小桐子制取生物柴油</c:v>
                  </c:pt>
                  <c:pt idx="11">
                    <c:v>煤电分阶段</c:v>
                  </c:pt>
                  <c:pt idx="12">
                    <c:v>气电分阶段</c:v>
                  </c:pt>
                  <c:pt idx="13">
                    <c:v>油电分阶段</c:v>
                  </c:pt>
                  <c:pt idx="14">
                    <c:v>网电分阶段</c:v>
                  </c:pt>
                </c:lvl>
                <c:lvl>
                  <c:pt idx="0">
                    <c:v>汽油车</c:v>
                  </c:pt>
                  <c:pt idx="1">
                    <c:v>柴油车</c:v>
                  </c:pt>
                  <c:pt idx="3">
                    <c:v>CNG车</c:v>
                  </c:pt>
                  <c:pt idx="4">
                    <c:v>LNG车</c:v>
                  </c:pt>
                  <c:pt idx="8">
                    <c:v>乙醇车</c:v>
                  </c:pt>
                  <c:pt idx="9">
                    <c:v>生物柴油车</c:v>
                  </c:pt>
                  <c:pt idx="11">
                    <c:v>纯电动车</c:v>
                  </c:pt>
                </c:lvl>
              </c:multiLvlStrCache>
            </c:multiLvlStrRef>
          </c:cat>
          <c:val>
            <c:numRef>
              <c:f>'vehicle summary'!$I$152:$I$166</c:f>
              <c:numCache>
                <c:formatCode>0.0</c:formatCode>
                <c:ptCount val="15"/>
                <c:pt idx="0">
                  <c:v>174.66344031104001</c:v>
                </c:pt>
                <c:pt idx="1">
                  <c:v>165.26168973971622</c:v>
                </c:pt>
                <c:pt idx="3" formatCode="0.00">
                  <c:v>149.842311696</c:v>
                </c:pt>
                <c:pt idx="4" formatCode="0.00">
                  <c:v>143.15146177820142</c:v>
                </c:pt>
                <c:pt idx="5" formatCode="0.00">
                  <c:v>143.15146177820142</c:v>
                </c:pt>
                <c:pt idx="6" formatCode="0.00">
                  <c:v>143.15146177820142</c:v>
                </c:pt>
                <c:pt idx="8" formatCode="0.00">
                  <c:v>0</c:v>
                </c:pt>
                <c:pt idx="9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</c:numCache>
            </c:numRef>
          </c:val>
        </c:ser>
        <c:gapWidth val="55"/>
        <c:overlap val="100"/>
        <c:axId val="149332736"/>
        <c:axId val="149334272"/>
      </c:barChart>
      <c:catAx>
        <c:axId val="149332736"/>
        <c:scaling>
          <c:orientation val="minMax"/>
        </c:scaling>
        <c:axPos val="b"/>
        <c:majorTickMark val="none"/>
        <c:tickLblPos val="nextTo"/>
        <c:crossAx val="149334272"/>
        <c:crosses val="autoZero"/>
        <c:auto val="1"/>
        <c:lblAlgn val="ctr"/>
        <c:lblOffset val="100"/>
      </c:catAx>
      <c:valAx>
        <c:axId val="149334272"/>
        <c:scaling>
          <c:orientation val="minMax"/>
        </c:scaling>
        <c:axPos val="l"/>
        <c:majorGridlines/>
        <c:numFmt formatCode="0.0" sourceLinked="1"/>
        <c:majorTickMark val="none"/>
        <c:tickLblPos val="nextTo"/>
        <c:crossAx val="1493327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5.492730210016155E-2"/>
          <c:y val="7.1065989847716032E-2"/>
          <c:w val="0.91922455573505657"/>
          <c:h val="0.7461928934010178"/>
        </c:manualLayout>
      </c:layout>
      <c:barChart>
        <c:barDir val="col"/>
        <c:grouping val="stacked"/>
        <c:ser>
          <c:idx val="0"/>
          <c:order val="0"/>
          <c:dLbls>
            <c:showVal val="1"/>
          </c:dLbls>
          <c:cat>
            <c:strRef>
              <c:f>'fuel summary'!$E$115:$I$115</c:f>
              <c:strCache>
                <c:ptCount val="5"/>
                <c:pt idx="0">
                  <c:v>原油开采处理</c:v>
                </c:pt>
                <c:pt idx="1">
                  <c:v>原油运输</c:v>
                </c:pt>
                <c:pt idx="2">
                  <c:v>燃料油炼制</c:v>
                </c:pt>
                <c:pt idx="3">
                  <c:v>燃料油输配</c:v>
                </c:pt>
                <c:pt idx="4">
                  <c:v>燃料油使用</c:v>
                </c:pt>
              </c:strCache>
            </c:strRef>
          </c:cat>
          <c:val>
            <c:numRef>
              <c:f>'fuel summary'!$E$124:$I$124</c:f>
              <c:numCache>
                <c:formatCode>0.0</c:formatCode>
                <c:ptCount val="5"/>
                <c:pt idx="0">
                  <c:v>7.8399981477950744</c:v>
                </c:pt>
                <c:pt idx="1">
                  <c:v>1.3604230837059088</c:v>
                </c:pt>
                <c:pt idx="2">
                  <c:v>5.4353217806896614</c:v>
                </c:pt>
                <c:pt idx="3">
                  <c:v>0.95858663514955988</c:v>
                </c:pt>
                <c:pt idx="4">
                  <c:v>75.86933333333333</c:v>
                </c:pt>
              </c:numCache>
            </c:numRef>
          </c:val>
        </c:ser>
        <c:overlap val="100"/>
        <c:axId val="152481792"/>
        <c:axId val="152483328"/>
      </c:barChart>
      <c:catAx>
        <c:axId val="152481792"/>
        <c:scaling>
          <c:orientation val="minMax"/>
        </c:scaling>
        <c:axPos val="b"/>
        <c:numFmt formatCode="General" sourceLinked="1"/>
        <c:tickLblPos val="nextTo"/>
        <c:crossAx val="152483328"/>
        <c:crosses val="autoZero"/>
        <c:auto val="1"/>
        <c:lblAlgn val="ctr"/>
        <c:lblOffset val="100"/>
      </c:catAx>
      <c:valAx>
        <c:axId val="152483328"/>
        <c:scaling>
          <c:orientation val="minMax"/>
        </c:scaling>
        <c:axPos val="l"/>
        <c:majorGridlines/>
        <c:numFmt formatCode="#,##0;[Red]\-#,##0" sourceLinked="0"/>
        <c:tickLblPos val="nextTo"/>
        <c:crossAx val="152481792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6.6235864297253616E-2"/>
          <c:y val="7.0707070707070704E-2"/>
          <c:w val="0.9095315024232633"/>
          <c:h val="0.74747474747474763"/>
        </c:manualLayout>
      </c:layout>
      <c:barChart>
        <c:barDir val="col"/>
        <c:grouping val="stacked"/>
        <c:ser>
          <c:idx val="0"/>
          <c:order val="0"/>
          <c:dLbls>
            <c:showVal val="1"/>
          </c:dLbls>
          <c:cat>
            <c:strRef>
              <c:f>'fuel summary'!$E$127:$M$127</c:f>
              <c:strCache>
                <c:ptCount val="9"/>
                <c:pt idx="0">
                  <c:v>煤电</c:v>
                </c:pt>
                <c:pt idx="1">
                  <c:v>气电</c:v>
                </c:pt>
                <c:pt idx="2">
                  <c:v>油电</c:v>
                </c:pt>
                <c:pt idx="3">
                  <c:v>网电</c:v>
                </c:pt>
                <c:pt idx="6">
                  <c:v>东北电网</c:v>
                </c:pt>
                <c:pt idx="7">
                  <c:v>华北电网</c:v>
                </c:pt>
                <c:pt idx="8">
                  <c:v>南方电网</c:v>
                </c:pt>
              </c:strCache>
            </c:strRef>
          </c:cat>
          <c:val>
            <c:numRef>
              <c:f>'fuel summary'!$E$136:$M$136</c:f>
              <c:numCache>
                <c:formatCode>0.0</c:formatCode>
                <c:ptCount val="9"/>
                <c:pt idx="0">
                  <c:v>291.88514636063582</c:v>
                </c:pt>
                <c:pt idx="1">
                  <c:v>155.54154370320205</c:v>
                </c:pt>
                <c:pt idx="2">
                  <c:v>305.69406076428317</c:v>
                </c:pt>
                <c:pt idx="3">
                  <c:v>237.06320573794014</c:v>
                </c:pt>
                <c:pt idx="4" formatCode="0.000">
                  <c:v>0</c:v>
                </c:pt>
                <c:pt idx="5" formatCode="0.000">
                  <c:v>0</c:v>
                </c:pt>
                <c:pt idx="6">
                  <c:v>274.67203757899767</c:v>
                </c:pt>
                <c:pt idx="7">
                  <c:v>286.14744343342312</c:v>
                </c:pt>
                <c:pt idx="8">
                  <c:v>191.55034513441328</c:v>
                </c:pt>
              </c:numCache>
            </c:numRef>
          </c:val>
        </c:ser>
        <c:overlap val="100"/>
        <c:axId val="152638208"/>
        <c:axId val="152639744"/>
      </c:barChart>
      <c:catAx>
        <c:axId val="152638208"/>
        <c:scaling>
          <c:orientation val="minMax"/>
        </c:scaling>
        <c:axPos val="b"/>
        <c:numFmt formatCode="General" sourceLinked="1"/>
        <c:tickLblPos val="nextTo"/>
        <c:crossAx val="152639744"/>
        <c:crosses val="autoZero"/>
        <c:auto val="1"/>
        <c:lblAlgn val="ctr"/>
        <c:lblOffset val="100"/>
      </c:catAx>
      <c:valAx>
        <c:axId val="152639744"/>
        <c:scaling>
          <c:orientation val="minMax"/>
        </c:scaling>
        <c:axPos val="l"/>
        <c:majorGridlines/>
        <c:numFmt formatCode="#,##0;[Red]\-#,##0" sourceLinked="0"/>
        <c:tickLblPos val="nextTo"/>
        <c:crossAx val="152638208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7.2222222222222424E-2"/>
          <c:y val="5.1851851851851864E-2"/>
          <c:w val="0.65925925925926065"/>
          <c:h val="0.81851851851851865"/>
        </c:manualLayout>
      </c:layout>
      <c:barChart>
        <c:barDir val="col"/>
        <c:grouping val="stacked"/>
        <c:ser>
          <c:idx val="0"/>
          <c:order val="0"/>
          <c:tx>
            <c:strRef>
              <c:f>'fuel summary'!$B$138:$D$138</c:f>
              <c:strCache>
                <c:ptCount val="1"/>
                <c:pt idx="0">
                  <c:v>燃料制备 g/MJ</c:v>
                </c:pt>
              </c:strCache>
            </c:strRef>
          </c:tx>
          <c:cat>
            <c:strRef>
              <c:f>'fuel summary'!$E$127:$H$127</c:f>
              <c:strCache>
                <c:ptCount val="4"/>
                <c:pt idx="0">
                  <c:v>煤电</c:v>
                </c:pt>
                <c:pt idx="1">
                  <c:v>气电</c:v>
                </c:pt>
                <c:pt idx="2">
                  <c:v>油电</c:v>
                </c:pt>
                <c:pt idx="3">
                  <c:v>网电</c:v>
                </c:pt>
              </c:strCache>
            </c:strRef>
          </c:cat>
          <c:val>
            <c:numRef>
              <c:f>'fuel summary'!$E$138:$H$138</c:f>
              <c:numCache>
                <c:formatCode>0</c:formatCode>
                <c:ptCount val="4"/>
                <c:pt idx="0">
                  <c:v>48.648704881558622</c:v>
                </c:pt>
                <c:pt idx="1">
                  <c:v>20.079167096141564</c:v>
                </c:pt>
                <c:pt idx="2">
                  <c:v>48.916253382990114</c:v>
                </c:pt>
                <c:pt idx="3">
                  <c:v>39.401623889676294</c:v>
                </c:pt>
              </c:numCache>
            </c:numRef>
          </c:val>
        </c:ser>
        <c:ser>
          <c:idx val="1"/>
          <c:order val="1"/>
          <c:tx>
            <c:strRef>
              <c:f>'fuel summary'!$B$139:$D$139</c:f>
              <c:strCache>
                <c:ptCount val="1"/>
                <c:pt idx="0">
                  <c:v>燃料运输 g/MJ</c:v>
                </c:pt>
              </c:strCache>
            </c:strRef>
          </c:tx>
          <c:cat>
            <c:strRef>
              <c:f>'fuel summary'!$E$127:$H$127</c:f>
              <c:strCache>
                <c:ptCount val="4"/>
                <c:pt idx="0">
                  <c:v>煤电</c:v>
                </c:pt>
                <c:pt idx="1">
                  <c:v>气电</c:v>
                </c:pt>
                <c:pt idx="2">
                  <c:v>油电</c:v>
                </c:pt>
                <c:pt idx="3">
                  <c:v>网电</c:v>
                </c:pt>
              </c:strCache>
            </c:strRef>
          </c:cat>
          <c:val>
            <c:numRef>
              <c:f>'fuel summary'!$E$139:$H$139</c:f>
              <c:numCache>
                <c:formatCode>0</c:formatCode>
                <c:ptCount val="4"/>
                <c:pt idx="0">
                  <c:v>3.2784641622763631</c:v>
                </c:pt>
                <c:pt idx="1">
                  <c:v>2.3597237812242629</c:v>
                </c:pt>
                <c:pt idx="2">
                  <c:v>3.2038323367298123</c:v>
                </c:pt>
                <c:pt idx="3">
                  <c:v>2.6667333174663472</c:v>
                </c:pt>
              </c:numCache>
            </c:numRef>
          </c:val>
        </c:ser>
        <c:ser>
          <c:idx val="2"/>
          <c:order val="2"/>
          <c:tx>
            <c:strRef>
              <c:f>'fuel summary'!$B$140:$D$140</c:f>
              <c:strCache>
                <c:ptCount val="1"/>
                <c:pt idx="0">
                  <c:v>燃料燃烧 g/MJ</c:v>
                </c:pt>
              </c:strCache>
            </c:strRef>
          </c:tx>
          <c:cat>
            <c:strRef>
              <c:f>'fuel summary'!$E$127:$H$127</c:f>
              <c:strCache>
                <c:ptCount val="4"/>
                <c:pt idx="0">
                  <c:v>煤电</c:v>
                </c:pt>
                <c:pt idx="1">
                  <c:v>气电</c:v>
                </c:pt>
                <c:pt idx="2">
                  <c:v>油电</c:v>
                </c:pt>
                <c:pt idx="3">
                  <c:v>网电</c:v>
                </c:pt>
              </c:strCache>
            </c:strRef>
          </c:cat>
          <c:val>
            <c:numRef>
              <c:f>'fuel summary'!$E$140:$H$140</c:f>
              <c:numCache>
                <c:formatCode>0</c:formatCode>
                <c:ptCount val="4"/>
                <c:pt idx="0">
                  <c:v>239.95797731680082</c:v>
                </c:pt>
                <c:pt idx="1">
                  <c:v>133.10265282583623</c:v>
                </c:pt>
                <c:pt idx="2">
                  <c:v>253.57397504456324</c:v>
                </c:pt>
                <c:pt idx="3">
                  <c:v>194.9948485307975</c:v>
                </c:pt>
              </c:numCache>
            </c:numRef>
          </c:val>
        </c:ser>
        <c:overlap val="100"/>
        <c:axId val="152689280"/>
        <c:axId val="152691072"/>
      </c:barChart>
      <c:catAx>
        <c:axId val="152689280"/>
        <c:scaling>
          <c:orientation val="minMax"/>
        </c:scaling>
        <c:axPos val="b"/>
        <c:numFmt formatCode="General" sourceLinked="1"/>
        <c:tickLblPos val="nextTo"/>
        <c:crossAx val="152691072"/>
        <c:crosses val="autoZero"/>
        <c:auto val="1"/>
        <c:lblAlgn val="ctr"/>
        <c:lblOffset val="100"/>
      </c:catAx>
      <c:valAx>
        <c:axId val="152691072"/>
        <c:scaling>
          <c:orientation val="minMax"/>
        </c:scaling>
        <c:axPos val="l"/>
        <c:majorGridlines/>
        <c:numFmt formatCode="0" sourceLinked="1"/>
        <c:tickLblPos val="nextTo"/>
        <c:crossAx val="152689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77913871877602"/>
          <c:y val="0.35926042578011086"/>
          <c:w val="0.19444483328472884"/>
          <c:h val="0.26666744434723433"/>
        </c:manualLayout>
      </c:layout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0986964618249542"/>
          <c:y val="4.1009463722397457E-2"/>
          <c:w val="0.85474860335195779"/>
          <c:h val="0.86119873817034764"/>
        </c:manualLayout>
      </c:layout>
      <c:barChart>
        <c:barDir val="col"/>
        <c:grouping val="stacked"/>
        <c:ser>
          <c:idx val="0"/>
          <c:order val="0"/>
          <c:dLbls>
            <c:showVal val="1"/>
          </c:dLbls>
          <c:cat>
            <c:strRef>
              <c:f>'NG-based'!$J$2:$L$2</c:f>
              <c:strCache>
                <c:ptCount val="3"/>
                <c:pt idx="0">
                  <c:v>NG开采处理阶段</c:v>
                </c:pt>
                <c:pt idx="1">
                  <c:v>NG运输阶段</c:v>
                </c:pt>
                <c:pt idx="2">
                  <c:v>使用阶段</c:v>
                </c:pt>
              </c:strCache>
            </c:strRef>
          </c:cat>
          <c:val>
            <c:numRef>
              <c:f>'NG-based'!$J$21:$L$21</c:f>
              <c:numCache>
                <c:formatCode>0.00_);[Red]\(0.00\)</c:formatCode>
                <c:ptCount val="3"/>
                <c:pt idx="0">
                  <c:v>8.6172757468155936</c:v>
                </c:pt>
                <c:pt idx="1">
                  <c:v>1.0127108565691105</c:v>
                </c:pt>
                <c:pt idx="2">
                  <c:v>57.122999999999998</c:v>
                </c:pt>
              </c:numCache>
            </c:numRef>
          </c:val>
        </c:ser>
        <c:overlap val="100"/>
        <c:axId val="152965888"/>
        <c:axId val="152967424"/>
      </c:barChart>
      <c:catAx>
        <c:axId val="152965888"/>
        <c:scaling>
          <c:orientation val="minMax"/>
        </c:scaling>
        <c:axPos val="b"/>
        <c:numFmt formatCode="General" sourceLinked="1"/>
        <c:tickLblPos val="nextTo"/>
        <c:crossAx val="152967424"/>
        <c:crosses val="autoZero"/>
        <c:auto val="1"/>
        <c:lblAlgn val="ctr"/>
        <c:lblOffset val="100"/>
      </c:catAx>
      <c:valAx>
        <c:axId val="152967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layout/>
        </c:title>
        <c:numFmt formatCode="#,##0;[Red]\-#,##0" sourceLinked="0"/>
        <c:tickLblPos val="nextTo"/>
        <c:crossAx val="152965888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2240117130307026E-2"/>
          <c:y val="5.0505050505050456E-2"/>
          <c:w val="0.8857979502196196"/>
          <c:h val="0.82828282828282829"/>
        </c:manualLayout>
      </c:layout>
      <c:barChart>
        <c:barDir val="col"/>
        <c:grouping val="stacked"/>
        <c:ser>
          <c:idx val="0"/>
          <c:order val="0"/>
          <c:dLbls>
            <c:showVal val="1"/>
          </c:dLbls>
          <c:cat>
            <c:strRef>
              <c:f>'NG-based'!$P$2:$T$2</c:f>
              <c:strCache>
                <c:ptCount val="5"/>
                <c:pt idx="0">
                  <c:v>NG开采处理阶段</c:v>
                </c:pt>
                <c:pt idx="1">
                  <c:v>NG运输阶段</c:v>
                </c:pt>
                <c:pt idx="2">
                  <c:v>NG压缩阶段</c:v>
                </c:pt>
                <c:pt idx="3">
                  <c:v>CNG运输</c:v>
                </c:pt>
                <c:pt idx="4">
                  <c:v>使用阶段</c:v>
                </c:pt>
              </c:strCache>
            </c:strRef>
          </c:cat>
          <c:val>
            <c:numRef>
              <c:f>'NG-based'!$P$21:$T$21</c:f>
              <c:numCache>
                <c:formatCode>0.00_);[Red]\(0.00\)</c:formatCode>
                <c:ptCount val="5"/>
                <c:pt idx="0">
                  <c:v>8.624099846662256</c:v>
                </c:pt>
                <c:pt idx="1">
                  <c:v>0.2027449162300522</c:v>
                </c:pt>
                <c:pt idx="2">
                  <c:v>7.1817853904384101</c:v>
                </c:pt>
                <c:pt idx="3">
                  <c:v>0</c:v>
                </c:pt>
                <c:pt idx="4">
                  <c:v>57.122999999999998</c:v>
                </c:pt>
              </c:numCache>
            </c:numRef>
          </c:val>
        </c:ser>
        <c:overlap val="100"/>
        <c:axId val="152987520"/>
        <c:axId val="152989056"/>
      </c:barChart>
      <c:catAx>
        <c:axId val="152987520"/>
        <c:scaling>
          <c:orientation val="minMax"/>
        </c:scaling>
        <c:axPos val="b"/>
        <c:numFmt formatCode="General" sourceLinked="1"/>
        <c:tickLblPos val="nextTo"/>
        <c:crossAx val="152989056"/>
        <c:crosses val="autoZero"/>
        <c:auto val="1"/>
        <c:lblAlgn val="ctr"/>
        <c:lblOffset val="100"/>
      </c:catAx>
      <c:valAx>
        <c:axId val="152989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layout/>
        </c:title>
        <c:numFmt formatCode="#,##0;[Red]\-#,##0" sourceLinked="0"/>
        <c:tickLblPos val="nextTo"/>
        <c:crossAx val="152987520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6036585365854119E-2"/>
          <c:y val="4.6439628482972076E-2"/>
          <c:w val="0.88109756097560732"/>
          <c:h val="0.84520123839009675"/>
        </c:manualLayout>
      </c:layout>
      <c:barChart>
        <c:barDir val="col"/>
        <c:grouping val="stacked"/>
        <c:ser>
          <c:idx val="0"/>
          <c:order val="0"/>
          <c:dLbls>
            <c:showVal val="1"/>
          </c:dLbls>
          <c:cat>
            <c:strRef>
              <c:f>('NG-based'!$Y$2,'NG-based'!$Z$2,'NG-based'!$AB$2,'NG-based'!$AC$2,'NG-based'!$AD$2)</c:f>
              <c:strCache>
                <c:ptCount val="5"/>
                <c:pt idx="0">
                  <c:v>NG开采处理阶段</c:v>
                </c:pt>
                <c:pt idx="1">
                  <c:v>NG液化阶段</c:v>
                </c:pt>
                <c:pt idx="2">
                  <c:v>LNG运输阶段</c:v>
                </c:pt>
                <c:pt idx="3">
                  <c:v>LNG输配阶段</c:v>
                </c:pt>
                <c:pt idx="4">
                  <c:v>使用阶段</c:v>
                </c:pt>
              </c:strCache>
            </c:strRef>
          </c:cat>
          <c:val>
            <c:numRef>
              <c:f>('NG-based'!$Y$21,'NG-based'!$Z$21,'NG-based'!$AB$21,'NG-based'!$AC$21,'NG-based'!$AD$21)</c:f>
              <c:numCache>
                <c:formatCode>0.00_);[Red]\(0.00\)</c:formatCode>
                <c:ptCount val="5"/>
                <c:pt idx="0">
                  <c:v>8.6172757468155936</c:v>
                </c:pt>
                <c:pt idx="1">
                  <c:v>7.1729530273479885</c:v>
                </c:pt>
                <c:pt idx="2">
                  <c:v>1.9261000635855134</c:v>
                </c:pt>
                <c:pt idx="3">
                  <c:v>0.4816401677656395</c:v>
                </c:pt>
                <c:pt idx="4">
                  <c:v>57.122999999999998</c:v>
                </c:pt>
              </c:numCache>
            </c:numRef>
          </c:val>
        </c:ser>
        <c:overlap val="100"/>
        <c:axId val="152841216"/>
        <c:axId val="152851200"/>
      </c:barChart>
      <c:catAx>
        <c:axId val="152841216"/>
        <c:scaling>
          <c:orientation val="minMax"/>
        </c:scaling>
        <c:axPos val="b"/>
        <c:numFmt formatCode="General" sourceLinked="1"/>
        <c:tickLblPos val="nextTo"/>
        <c:crossAx val="152851200"/>
        <c:crosses val="autoZero"/>
        <c:auto val="1"/>
        <c:lblAlgn val="ctr"/>
        <c:lblOffset val="100"/>
      </c:catAx>
      <c:valAx>
        <c:axId val="152851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</c:title>
        <c:numFmt formatCode="#,##0;[Red]\-#,##0" sourceLinked="0"/>
        <c:tickLblPos val="nextTo"/>
        <c:crossAx val="152841216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5310136157337369E-2"/>
          <c:y val="4.5592705167173293E-2"/>
          <c:w val="0.88199697428139179"/>
          <c:h val="0.8480243161094263"/>
        </c:manualLayout>
      </c:layout>
      <c:barChart>
        <c:barDir val="col"/>
        <c:grouping val="stacked"/>
        <c:ser>
          <c:idx val="0"/>
          <c:order val="0"/>
          <c:dLbls>
            <c:showVal val="1"/>
          </c:dLbls>
          <c:cat>
            <c:strRef>
              <c:f>('NG-based'!$BA$2,'NG-based'!$BB$2,'NG-based'!$BC$2,'NG-based'!$BE$2,'NG-based'!$BF$2)</c:f>
              <c:strCache>
                <c:ptCount val="5"/>
                <c:pt idx="0">
                  <c:v>NG开采处理阶段</c:v>
                </c:pt>
                <c:pt idx="1">
                  <c:v>NG运输阶段</c:v>
                </c:pt>
                <c:pt idx="2">
                  <c:v>GTL生产</c:v>
                </c:pt>
                <c:pt idx="3">
                  <c:v>GTL输配阶段</c:v>
                </c:pt>
                <c:pt idx="4">
                  <c:v>使用阶段</c:v>
                </c:pt>
              </c:strCache>
            </c:strRef>
          </c:cat>
          <c:val>
            <c:numRef>
              <c:f>('NG-based'!$BA$21,'NG-based'!$BB$21,'NG-based'!$BC$21,'NG-based'!$BE$21,'NG-based'!$BF$21)</c:f>
              <c:numCache>
                <c:formatCode>0.00_);[Red]\(0.00\)</c:formatCode>
                <c:ptCount val="5"/>
                <c:pt idx="0">
                  <c:v>11.489700995754127</c:v>
                </c:pt>
                <c:pt idx="1">
                  <c:v>9.0018742806143165E-2</c:v>
                </c:pt>
                <c:pt idx="2">
                  <c:v>59.023809283345258</c:v>
                </c:pt>
                <c:pt idx="3">
                  <c:v>0.36113318281622653</c:v>
                </c:pt>
                <c:pt idx="4">
                  <c:v>72.599999999999994</c:v>
                </c:pt>
              </c:numCache>
            </c:numRef>
          </c:val>
        </c:ser>
        <c:overlap val="100"/>
        <c:axId val="152879488"/>
        <c:axId val="152881024"/>
      </c:barChart>
      <c:catAx>
        <c:axId val="152879488"/>
        <c:scaling>
          <c:orientation val="minMax"/>
        </c:scaling>
        <c:axPos val="b"/>
        <c:numFmt formatCode="General" sourceLinked="1"/>
        <c:tickLblPos val="nextTo"/>
        <c:crossAx val="152881024"/>
        <c:crosses val="autoZero"/>
        <c:auto val="1"/>
        <c:lblAlgn val="ctr"/>
        <c:lblOffset val="100"/>
      </c:catAx>
      <c:valAx>
        <c:axId val="152881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</c:title>
        <c:numFmt formatCode="#,##0;[Red]\-#,##0" sourceLinked="0"/>
        <c:tickLblPos val="nextTo"/>
        <c:crossAx val="152879488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0824742268041262"/>
          <c:y val="4.7468354430379764E-2"/>
          <c:w val="0.86597938144330133"/>
          <c:h val="0.84177215189873422"/>
        </c:manualLayout>
      </c:layout>
      <c:barChart>
        <c:barDir val="col"/>
        <c:grouping val="stacked"/>
        <c:ser>
          <c:idx val="0"/>
          <c:order val="0"/>
          <c:dLbls>
            <c:numFmt formatCode="#,##0.00;[Red]\-#,##0.00" sourceLinked="0"/>
            <c:showVal val="1"/>
          </c:dLbls>
          <c:cat>
            <c:strRef>
              <c:f>('NG-based'!$AH$2,'NG-based'!$AI$2,'NG-based'!$AK$2,'NG-based'!$AL$2)</c:f>
              <c:strCache>
                <c:ptCount val="4"/>
                <c:pt idx="0">
                  <c:v>NG开采处理阶段</c:v>
                </c:pt>
                <c:pt idx="1">
                  <c:v>NG液化阶段</c:v>
                </c:pt>
                <c:pt idx="2">
                  <c:v>LNG输配阶段</c:v>
                </c:pt>
                <c:pt idx="3">
                  <c:v>使用阶段</c:v>
                </c:pt>
              </c:strCache>
            </c:strRef>
          </c:cat>
          <c:val>
            <c:numRef>
              <c:f>('NG-based'!$AH$21,'NG-based'!$AI$21,'NG-based'!$AK$21,'NG-based'!$AL$21)</c:f>
              <c:numCache>
                <c:formatCode>0.00_);[Red]\(0.00\)</c:formatCode>
                <c:ptCount val="4"/>
                <c:pt idx="0">
                  <c:v>8.6172757468155936</c:v>
                </c:pt>
                <c:pt idx="1">
                  <c:v>11.412462692643675</c:v>
                </c:pt>
                <c:pt idx="2">
                  <c:v>0.4816401677656395</c:v>
                </c:pt>
                <c:pt idx="3">
                  <c:v>57.122999999999998</c:v>
                </c:pt>
              </c:numCache>
            </c:numRef>
          </c:val>
        </c:ser>
        <c:overlap val="100"/>
        <c:axId val="152897024"/>
        <c:axId val="152898560"/>
      </c:barChart>
      <c:catAx>
        <c:axId val="152897024"/>
        <c:scaling>
          <c:orientation val="minMax"/>
        </c:scaling>
        <c:axPos val="b"/>
        <c:numFmt formatCode="General" sourceLinked="1"/>
        <c:tickLblPos val="nextTo"/>
        <c:crossAx val="152898560"/>
        <c:crosses val="autoZero"/>
        <c:auto val="1"/>
        <c:lblAlgn val="ctr"/>
        <c:lblOffset val="100"/>
      </c:catAx>
      <c:valAx>
        <c:axId val="152898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</c:title>
        <c:numFmt formatCode="#,##0;[Red]\-#,##0" sourceLinked="0"/>
        <c:tickLblPos val="nextTo"/>
        <c:crossAx val="152897024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2753623188405798E-2"/>
          <c:y val="4.6439628482972076E-2"/>
          <c:w val="0.88550724637681155"/>
          <c:h val="0.84520123839009675"/>
        </c:manualLayout>
      </c:layout>
      <c:barChart>
        <c:barDir val="col"/>
        <c:grouping val="stacked"/>
        <c:ser>
          <c:idx val="0"/>
          <c:order val="0"/>
          <c:dLbls>
            <c:numFmt formatCode="#,##0.00;[Red]\-#,##0.00" sourceLinked="0"/>
            <c:showVal val="1"/>
          </c:dLbls>
          <c:cat>
            <c:strRef>
              <c:f>('NG-based'!$AQ$2,'NG-based'!$AR$2,'NG-based'!$AS$2,'NG-based'!$AU$2,'NG-based'!$AV$2)</c:f>
              <c:strCache>
                <c:ptCount val="5"/>
                <c:pt idx="0">
                  <c:v>NG开采处理阶段</c:v>
                </c:pt>
                <c:pt idx="1">
                  <c:v>NG输配阶段</c:v>
                </c:pt>
                <c:pt idx="2">
                  <c:v>NG液化阶段</c:v>
                </c:pt>
                <c:pt idx="3">
                  <c:v>LNG输配阶段</c:v>
                </c:pt>
                <c:pt idx="4">
                  <c:v>使用阶段</c:v>
                </c:pt>
              </c:strCache>
            </c:strRef>
          </c:cat>
          <c:val>
            <c:numRef>
              <c:f>('NG-based'!$AQ$21,'NG-based'!$AR$21,'NG-based'!$AS$21,'NG-based'!$AU$21,'NG-based'!$AV$21)</c:f>
              <c:numCache>
                <c:formatCode>0.00_);[Red]\(0.00\)</c:formatCode>
                <c:ptCount val="5"/>
                <c:pt idx="0" formatCode="0.0">
                  <c:v>8.6172757468155936</c:v>
                </c:pt>
                <c:pt idx="1">
                  <c:v>1.0127108565691105</c:v>
                </c:pt>
                <c:pt idx="2">
                  <c:v>11.402692356527393</c:v>
                </c:pt>
                <c:pt idx="3" formatCode="0.0">
                  <c:v>0.4816401677656395</c:v>
                </c:pt>
                <c:pt idx="4">
                  <c:v>57.122999999999998</c:v>
                </c:pt>
              </c:numCache>
            </c:numRef>
          </c:val>
        </c:ser>
        <c:overlap val="100"/>
        <c:axId val="152914560"/>
        <c:axId val="152940928"/>
      </c:barChart>
      <c:catAx>
        <c:axId val="152914560"/>
        <c:scaling>
          <c:orientation val="minMax"/>
        </c:scaling>
        <c:axPos val="b"/>
        <c:numFmt formatCode="General" sourceLinked="1"/>
        <c:tickLblPos val="nextTo"/>
        <c:crossAx val="152940928"/>
        <c:crosses val="autoZero"/>
        <c:auto val="1"/>
        <c:lblAlgn val="ctr"/>
        <c:lblOffset val="100"/>
      </c:catAx>
      <c:valAx>
        <c:axId val="152940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</c:title>
        <c:numFmt formatCode="#,##0;[Red]\-#,##0" sourceLinked="0"/>
        <c:tickLblPos val="nextTo"/>
        <c:crossAx val="152914560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0986964618249542"/>
          <c:y val="4.1009463722397457E-2"/>
          <c:w val="0.85474860335195779"/>
          <c:h val="0.86119873817034764"/>
        </c:manualLayout>
      </c:layout>
      <c:barChart>
        <c:barDir val="col"/>
        <c:grouping val="stacked"/>
        <c:ser>
          <c:idx val="0"/>
          <c:order val="0"/>
          <c:dLbls>
            <c:showVal val="1"/>
          </c:dLbls>
          <c:cat>
            <c:strRef>
              <c:f>'NG-based (+1)'!$J$2:$L$2</c:f>
              <c:strCache>
                <c:ptCount val="3"/>
                <c:pt idx="0">
                  <c:v>NG开采处理阶段</c:v>
                </c:pt>
                <c:pt idx="1">
                  <c:v>NG运输阶段</c:v>
                </c:pt>
                <c:pt idx="2">
                  <c:v>使用阶段</c:v>
                </c:pt>
              </c:strCache>
            </c:strRef>
          </c:cat>
          <c:val>
            <c:numRef>
              <c:f>'NG-based (+1)'!$J$21:$L$21</c:f>
              <c:numCache>
                <c:formatCode>0.00_);[Red]\(0.00\)</c:formatCode>
                <c:ptCount val="3"/>
                <c:pt idx="0">
                  <c:v>8.6172757468155936</c:v>
                </c:pt>
                <c:pt idx="1">
                  <c:v>1.0127108565691105</c:v>
                </c:pt>
                <c:pt idx="2">
                  <c:v>57.122999999999998</c:v>
                </c:pt>
              </c:numCache>
            </c:numRef>
          </c:val>
        </c:ser>
        <c:overlap val="100"/>
        <c:axId val="153244032"/>
        <c:axId val="153245568"/>
      </c:barChart>
      <c:catAx>
        <c:axId val="153244032"/>
        <c:scaling>
          <c:orientation val="minMax"/>
        </c:scaling>
        <c:axPos val="b"/>
        <c:numFmt formatCode="General" sourceLinked="1"/>
        <c:tickLblPos val="nextTo"/>
        <c:crossAx val="153245568"/>
        <c:crosses val="autoZero"/>
        <c:auto val="1"/>
        <c:lblAlgn val="ctr"/>
        <c:lblOffset val="100"/>
      </c:catAx>
      <c:valAx>
        <c:axId val="153245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layout/>
        </c:title>
        <c:numFmt formatCode="#,##0;[Red]\-#,##0" sourceLinked="0"/>
        <c:tickLblPos val="nextTo"/>
        <c:crossAx val="153244032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6.1482820976491923E-2"/>
          <c:y val="6.1674008810572688E-2"/>
          <c:w val="0.91139240506329111"/>
          <c:h val="0.78414096916299558"/>
        </c:manualLayout>
      </c:layout>
      <c:barChart>
        <c:barDir val="col"/>
        <c:grouping val="stacked"/>
        <c:ser>
          <c:idx val="0"/>
          <c:order val="0"/>
          <c:dLbls>
            <c:showVal val="1"/>
          </c:dLbls>
          <c:cat>
            <c:strRef>
              <c:f>'fuel summary'!$E$9:$G$9</c:f>
              <c:strCache>
                <c:ptCount val="3"/>
                <c:pt idx="0">
                  <c:v>NG开采处理阶段</c:v>
                </c:pt>
                <c:pt idx="1">
                  <c:v>NG运输阶段</c:v>
                </c:pt>
                <c:pt idx="2">
                  <c:v>使用阶段</c:v>
                </c:pt>
              </c:strCache>
            </c:strRef>
          </c:cat>
          <c:val>
            <c:numRef>
              <c:f>'fuel summary'!$E$18:$G$18</c:f>
              <c:numCache>
                <c:formatCode>0.0</c:formatCode>
                <c:ptCount val="3"/>
                <c:pt idx="0">
                  <c:v>8.6172757468155936</c:v>
                </c:pt>
                <c:pt idx="1">
                  <c:v>1.0127108565691105</c:v>
                </c:pt>
                <c:pt idx="2">
                  <c:v>57.122999999999998</c:v>
                </c:pt>
              </c:numCache>
            </c:numRef>
          </c:val>
        </c:ser>
        <c:overlap val="100"/>
        <c:axId val="152044672"/>
        <c:axId val="152046208"/>
      </c:barChart>
      <c:catAx>
        <c:axId val="152044672"/>
        <c:scaling>
          <c:orientation val="minMax"/>
        </c:scaling>
        <c:axPos val="b"/>
        <c:numFmt formatCode="General" sourceLinked="1"/>
        <c:tickLblPos val="nextTo"/>
        <c:crossAx val="152046208"/>
        <c:crosses val="autoZero"/>
        <c:auto val="1"/>
        <c:lblAlgn val="ctr"/>
        <c:lblOffset val="100"/>
      </c:catAx>
      <c:valAx>
        <c:axId val="152046208"/>
        <c:scaling>
          <c:orientation val="minMax"/>
        </c:scaling>
        <c:axPos val="l"/>
        <c:majorGridlines/>
        <c:numFmt formatCode="#,##0;[Red]\-#,##0" sourceLinked="0"/>
        <c:tickLblPos val="nextTo"/>
        <c:crossAx val="152044672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2240117130307026E-2"/>
          <c:y val="5.0505050505050456E-2"/>
          <c:w val="0.8857979502196196"/>
          <c:h val="0.82828282828282829"/>
        </c:manualLayout>
      </c:layout>
      <c:barChart>
        <c:barDir val="col"/>
        <c:grouping val="stacked"/>
        <c:ser>
          <c:idx val="0"/>
          <c:order val="0"/>
          <c:dLbls>
            <c:showVal val="1"/>
          </c:dLbls>
          <c:cat>
            <c:strRef>
              <c:f>'NG-based (+1)'!$P$2:$T$2</c:f>
              <c:strCache>
                <c:ptCount val="5"/>
                <c:pt idx="0">
                  <c:v>NG开采处理阶段</c:v>
                </c:pt>
                <c:pt idx="1">
                  <c:v>NG运输阶段</c:v>
                </c:pt>
                <c:pt idx="2">
                  <c:v>NG压缩阶段</c:v>
                </c:pt>
                <c:pt idx="3">
                  <c:v>CNG运输</c:v>
                </c:pt>
                <c:pt idx="4">
                  <c:v>使用阶段</c:v>
                </c:pt>
              </c:strCache>
            </c:strRef>
          </c:cat>
          <c:val>
            <c:numRef>
              <c:f>'NG-based (+1)'!$P$21:$T$21</c:f>
              <c:numCache>
                <c:formatCode>0.00_);[Red]\(0.00\)</c:formatCode>
                <c:ptCount val="5"/>
                <c:pt idx="0">
                  <c:v>8.624099846662256</c:v>
                </c:pt>
                <c:pt idx="1">
                  <c:v>0.2027449162300522</c:v>
                </c:pt>
                <c:pt idx="2">
                  <c:v>7.1817853904384101</c:v>
                </c:pt>
                <c:pt idx="3">
                  <c:v>0</c:v>
                </c:pt>
                <c:pt idx="4">
                  <c:v>57.122999999999998</c:v>
                </c:pt>
              </c:numCache>
            </c:numRef>
          </c:val>
        </c:ser>
        <c:overlap val="100"/>
        <c:axId val="153269760"/>
        <c:axId val="153271296"/>
      </c:barChart>
      <c:catAx>
        <c:axId val="153269760"/>
        <c:scaling>
          <c:orientation val="minMax"/>
        </c:scaling>
        <c:axPos val="b"/>
        <c:numFmt formatCode="General" sourceLinked="1"/>
        <c:tickLblPos val="nextTo"/>
        <c:crossAx val="153271296"/>
        <c:crosses val="autoZero"/>
        <c:auto val="1"/>
        <c:lblAlgn val="ctr"/>
        <c:lblOffset val="100"/>
      </c:catAx>
      <c:valAx>
        <c:axId val="153271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layout/>
        </c:title>
        <c:numFmt formatCode="#,##0;[Red]\-#,##0" sourceLinked="0"/>
        <c:tickLblPos val="nextTo"/>
        <c:crossAx val="153269760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6036585365854119E-2"/>
          <c:y val="4.6439628482972076E-2"/>
          <c:w val="0.88109756097560732"/>
          <c:h val="0.84520123839009675"/>
        </c:manualLayout>
      </c:layout>
      <c:barChart>
        <c:barDir val="col"/>
        <c:grouping val="stacked"/>
        <c:ser>
          <c:idx val="0"/>
          <c:order val="0"/>
          <c:dLbls>
            <c:showVal val="1"/>
          </c:dLbls>
          <c:cat>
            <c:strRef>
              <c:f>('NG-based (+1)'!$Y$2,'NG-based (+1)'!$Z$2,'NG-based (+1)'!$AB$2,'NG-based (+1)'!$AC$2,'NG-based (+1)'!$AD$2)</c:f>
              <c:strCache>
                <c:ptCount val="5"/>
                <c:pt idx="0">
                  <c:v>NG开采处理阶段</c:v>
                </c:pt>
                <c:pt idx="1">
                  <c:v>NG液化阶段</c:v>
                </c:pt>
                <c:pt idx="2">
                  <c:v>LNG运输阶段</c:v>
                </c:pt>
                <c:pt idx="3">
                  <c:v>LNG输配阶段</c:v>
                </c:pt>
                <c:pt idx="4">
                  <c:v>使用阶段</c:v>
                </c:pt>
              </c:strCache>
            </c:strRef>
          </c:cat>
          <c:val>
            <c:numRef>
              <c:f>('NG-based (+1)'!$Y$21,'NG-based (+1)'!$Z$21,'NG-based (+1)'!$AB$21,'NG-based (+1)'!$AC$21,'NG-based (+1)'!$AD$21)</c:f>
              <c:numCache>
                <c:formatCode>0.00_);[Red]\(0.00\)</c:formatCode>
                <c:ptCount val="5"/>
                <c:pt idx="0">
                  <c:v>8.6172757468155936</c:v>
                </c:pt>
                <c:pt idx="1">
                  <c:v>11.378986135411951</c:v>
                </c:pt>
                <c:pt idx="2">
                  <c:v>1.9261000635855134</c:v>
                </c:pt>
                <c:pt idx="3">
                  <c:v>0.4816401677656395</c:v>
                </c:pt>
                <c:pt idx="4">
                  <c:v>57.122999999999998</c:v>
                </c:pt>
              </c:numCache>
            </c:numRef>
          </c:val>
        </c:ser>
        <c:overlap val="100"/>
        <c:axId val="149101184"/>
        <c:axId val="153280896"/>
      </c:barChart>
      <c:catAx>
        <c:axId val="149101184"/>
        <c:scaling>
          <c:orientation val="minMax"/>
        </c:scaling>
        <c:axPos val="b"/>
        <c:numFmt formatCode="General" sourceLinked="1"/>
        <c:tickLblPos val="nextTo"/>
        <c:crossAx val="153280896"/>
        <c:crosses val="autoZero"/>
        <c:auto val="1"/>
        <c:lblAlgn val="ctr"/>
        <c:lblOffset val="100"/>
      </c:catAx>
      <c:valAx>
        <c:axId val="153280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</c:title>
        <c:numFmt formatCode="#,##0;[Red]\-#,##0" sourceLinked="0"/>
        <c:tickLblPos val="nextTo"/>
        <c:crossAx val="149101184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0824742268041262"/>
          <c:y val="4.7468354430379764E-2"/>
          <c:w val="0.86597938144330133"/>
          <c:h val="0.84177215189873422"/>
        </c:manualLayout>
      </c:layout>
      <c:barChart>
        <c:barDir val="col"/>
        <c:grouping val="stacked"/>
        <c:ser>
          <c:idx val="0"/>
          <c:order val="0"/>
          <c:dLbls>
            <c:numFmt formatCode="#,##0.00;[Red]\-#,##0.00" sourceLinked="0"/>
            <c:showVal val="1"/>
          </c:dLbls>
          <c:cat>
            <c:strRef>
              <c:f>('NG-based (+1)'!$AH$2,'NG-based (+1)'!$AI$2,'NG-based (+1)'!$AK$2,'NG-based (+1)'!$AL$2)</c:f>
              <c:strCache>
                <c:ptCount val="4"/>
                <c:pt idx="0">
                  <c:v>NG开采处理阶段</c:v>
                </c:pt>
                <c:pt idx="1">
                  <c:v>NG液化阶段</c:v>
                </c:pt>
                <c:pt idx="2">
                  <c:v>LNG输配阶段</c:v>
                </c:pt>
                <c:pt idx="3">
                  <c:v>使用阶段</c:v>
                </c:pt>
              </c:strCache>
            </c:strRef>
          </c:cat>
          <c:val>
            <c:numRef>
              <c:f>('NG-based (+1)'!$AH$21,'NG-based (+1)'!$AI$21,'NG-based (+1)'!$AK$21,'NG-based (+1)'!$AL$21)</c:f>
              <c:numCache>
                <c:formatCode>0.00_);[Red]\(0.00\)</c:formatCode>
                <c:ptCount val="4"/>
                <c:pt idx="0">
                  <c:v>8.6172757468155936</c:v>
                </c:pt>
                <c:pt idx="1">
                  <c:v>7.1729530273479885</c:v>
                </c:pt>
                <c:pt idx="2">
                  <c:v>0.4816401677656395</c:v>
                </c:pt>
                <c:pt idx="3">
                  <c:v>57.122999999999998</c:v>
                </c:pt>
              </c:numCache>
            </c:numRef>
          </c:val>
        </c:ser>
        <c:overlap val="100"/>
        <c:axId val="153112576"/>
        <c:axId val="153114112"/>
      </c:barChart>
      <c:catAx>
        <c:axId val="153112576"/>
        <c:scaling>
          <c:orientation val="minMax"/>
        </c:scaling>
        <c:axPos val="b"/>
        <c:numFmt formatCode="General" sourceLinked="1"/>
        <c:tickLblPos val="nextTo"/>
        <c:crossAx val="153114112"/>
        <c:crosses val="autoZero"/>
        <c:auto val="1"/>
        <c:lblAlgn val="ctr"/>
        <c:lblOffset val="100"/>
      </c:catAx>
      <c:valAx>
        <c:axId val="153114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</c:title>
        <c:numFmt formatCode="#,##0;[Red]\-#,##0" sourceLinked="0"/>
        <c:tickLblPos val="nextTo"/>
        <c:crossAx val="153112576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1836734693877556E-2"/>
          <c:y val="4.6439628482972076E-2"/>
          <c:w val="0.88629737609329462"/>
          <c:h val="0.84520123839009675"/>
        </c:manualLayout>
      </c:layout>
      <c:barChart>
        <c:barDir val="col"/>
        <c:grouping val="stacked"/>
        <c:ser>
          <c:idx val="0"/>
          <c:order val="0"/>
          <c:dLbls>
            <c:numFmt formatCode="#,##0.00;[Red]\-#,##0.00" sourceLinked="0"/>
            <c:showVal val="1"/>
          </c:dLbls>
          <c:cat>
            <c:strRef>
              <c:f>('NG-based (+1)'!$AQ$2,'NG-based (+1)'!$AR$2,'NG-based (+1)'!$AS$2,'NG-based (+1)'!$AU$2,'NG-based (+1)'!$AV$2)</c:f>
              <c:strCache>
                <c:ptCount val="5"/>
                <c:pt idx="0">
                  <c:v>NG开采处理阶段</c:v>
                </c:pt>
                <c:pt idx="1">
                  <c:v>NG输配阶段</c:v>
                </c:pt>
                <c:pt idx="2">
                  <c:v>NG液化阶段</c:v>
                </c:pt>
                <c:pt idx="3">
                  <c:v>LNG输配阶段</c:v>
                </c:pt>
                <c:pt idx="4">
                  <c:v>使用阶段</c:v>
                </c:pt>
              </c:strCache>
            </c:strRef>
          </c:cat>
          <c:val>
            <c:numRef>
              <c:f>('NG-based (+1)'!$AQ$21,'NG-based (+1)'!$AR$21,'NG-based (+1)'!$AS$21,'NG-based (+1)'!$AU$21,'NG-based (+1)'!$AV$21)</c:f>
              <c:numCache>
                <c:formatCode>0.00_);[Red]\(0.00\)</c:formatCode>
                <c:ptCount val="5"/>
                <c:pt idx="0" formatCode="0.0">
                  <c:v>8.6172757468155936</c:v>
                </c:pt>
                <c:pt idx="1">
                  <c:v>1.0127108565691105</c:v>
                </c:pt>
                <c:pt idx="2">
                  <c:v>7.1729530273479885</c:v>
                </c:pt>
                <c:pt idx="3" formatCode="0.0">
                  <c:v>0.4816401677656395</c:v>
                </c:pt>
                <c:pt idx="4">
                  <c:v>57.122999999999998</c:v>
                </c:pt>
              </c:numCache>
            </c:numRef>
          </c:val>
        </c:ser>
        <c:overlap val="100"/>
        <c:axId val="153134208"/>
        <c:axId val="153135744"/>
      </c:barChart>
      <c:catAx>
        <c:axId val="153134208"/>
        <c:scaling>
          <c:orientation val="minMax"/>
        </c:scaling>
        <c:axPos val="b"/>
        <c:numFmt formatCode="General" sourceLinked="1"/>
        <c:tickLblPos val="nextTo"/>
        <c:crossAx val="153135744"/>
        <c:crosses val="autoZero"/>
        <c:auto val="1"/>
        <c:lblAlgn val="ctr"/>
        <c:lblOffset val="100"/>
      </c:catAx>
      <c:valAx>
        <c:axId val="153135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</c:title>
        <c:numFmt formatCode="#,##0;[Red]\-#,##0" sourceLinked="0"/>
        <c:tickLblPos val="nextTo"/>
        <c:crossAx val="153134208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0986964618249542"/>
          <c:y val="4.1009463722397457E-2"/>
          <c:w val="0.85474860335195779"/>
          <c:h val="0.86119873817034764"/>
        </c:manualLayout>
      </c:layout>
      <c:barChart>
        <c:barDir val="col"/>
        <c:grouping val="stacked"/>
        <c:ser>
          <c:idx val="0"/>
          <c:order val="0"/>
          <c:dLbls>
            <c:showVal val="1"/>
          </c:dLbls>
          <c:cat>
            <c:strRef>
              <c:f>'NG-based (+2)'!$J$2:$L$2</c:f>
              <c:strCache>
                <c:ptCount val="3"/>
                <c:pt idx="0">
                  <c:v>NG开采处理阶段</c:v>
                </c:pt>
                <c:pt idx="1">
                  <c:v>NG运输阶段</c:v>
                </c:pt>
                <c:pt idx="2">
                  <c:v>使用阶段</c:v>
                </c:pt>
              </c:strCache>
            </c:strRef>
          </c:cat>
          <c:val>
            <c:numRef>
              <c:f>'NG-based (+2)'!$J$21:$L$21</c:f>
              <c:numCache>
                <c:formatCode>0.00_);[Red]\(0.00\)</c:formatCode>
                <c:ptCount val="3"/>
                <c:pt idx="0">
                  <c:v>8.6172757468155936</c:v>
                </c:pt>
                <c:pt idx="1">
                  <c:v>1.0127108565691105</c:v>
                </c:pt>
                <c:pt idx="2">
                  <c:v>57.122999999999998</c:v>
                </c:pt>
              </c:numCache>
            </c:numRef>
          </c:val>
        </c:ser>
        <c:overlap val="100"/>
        <c:axId val="153361024"/>
        <c:axId val="153375104"/>
      </c:barChart>
      <c:catAx>
        <c:axId val="153361024"/>
        <c:scaling>
          <c:orientation val="minMax"/>
        </c:scaling>
        <c:axPos val="b"/>
        <c:numFmt formatCode="General" sourceLinked="1"/>
        <c:tickLblPos val="nextTo"/>
        <c:crossAx val="153375104"/>
        <c:crosses val="autoZero"/>
        <c:auto val="1"/>
        <c:lblAlgn val="ctr"/>
        <c:lblOffset val="100"/>
      </c:catAx>
      <c:valAx>
        <c:axId val="153375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layout/>
        </c:title>
        <c:numFmt formatCode="#,##0;[Red]\-#,##0" sourceLinked="0"/>
        <c:tickLblPos val="nextTo"/>
        <c:crossAx val="153361024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2240117130307026E-2"/>
          <c:y val="5.0505050505050456E-2"/>
          <c:w val="0.8857979502196196"/>
          <c:h val="0.82828282828282829"/>
        </c:manualLayout>
      </c:layout>
      <c:barChart>
        <c:barDir val="col"/>
        <c:grouping val="stacked"/>
        <c:ser>
          <c:idx val="0"/>
          <c:order val="0"/>
          <c:dLbls>
            <c:showVal val="1"/>
          </c:dLbls>
          <c:cat>
            <c:strRef>
              <c:f>'NG-based (+2)'!$P$2:$T$2</c:f>
              <c:strCache>
                <c:ptCount val="5"/>
                <c:pt idx="0">
                  <c:v>NG开采处理阶段</c:v>
                </c:pt>
                <c:pt idx="1">
                  <c:v>NG运输阶段</c:v>
                </c:pt>
                <c:pt idx="2">
                  <c:v>NG压缩阶段</c:v>
                </c:pt>
                <c:pt idx="3">
                  <c:v>CNG运输</c:v>
                </c:pt>
                <c:pt idx="4">
                  <c:v>使用阶段</c:v>
                </c:pt>
              </c:strCache>
            </c:strRef>
          </c:cat>
          <c:val>
            <c:numRef>
              <c:f>'NG-based (+2)'!$P$21:$T$21</c:f>
              <c:numCache>
                <c:formatCode>0.00_);[Red]\(0.00\)</c:formatCode>
                <c:ptCount val="5"/>
                <c:pt idx="0">
                  <c:v>8.624099846662256</c:v>
                </c:pt>
                <c:pt idx="1">
                  <c:v>0.2027449162300522</c:v>
                </c:pt>
                <c:pt idx="2">
                  <c:v>7.1817853904384101</c:v>
                </c:pt>
                <c:pt idx="3">
                  <c:v>0</c:v>
                </c:pt>
                <c:pt idx="4">
                  <c:v>57.122999999999998</c:v>
                </c:pt>
              </c:numCache>
            </c:numRef>
          </c:val>
        </c:ser>
        <c:overlap val="100"/>
        <c:axId val="153493504"/>
        <c:axId val="153495040"/>
      </c:barChart>
      <c:catAx>
        <c:axId val="153493504"/>
        <c:scaling>
          <c:orientation val="minMax"/>
        </c:scaling>
        <c:axPos val="b"/>
        <c:numFmt formatCode="General" sourceLinked="1"/>
        <c:tickLblPos val="nextTo"/>
        <c:crossAx val="153495040"/>
        <c:crosses val="autoZero"/>
        <c:auto val="1"/>
        <c:lblAlgn val="ctr"/>
        <c:lblOffset val="100"/>
      </c:catAx>
      <c:valAx>
        <c:axId val="153495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layout/>
        </c:title>
        <c:numFmt formatCode="#,##0;[Red]\-#,##0" sourceLinked="0"/>
        <c:tickLblPos val="nextTo"/>
        <c:crossAx val="153493504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6036585365854119E-2"/>
          <c:y val="4.6439628482972076E-2"/>
          <c:w val="0.88109756097560732"/>
          <c:h val="0.84520123839009675"/>
        </c:manualLayout>
      </c:layout>
      <c:barChart>
        <c:barDir val="col"/>
        <c:grouping val="stacked"/>
        <c:ser>
          <c:idx val="0"/>
          <c:order val="0"/>
          <c:dLbls>
            <c:showVal val="1"/>
          </c:dLbls>
          <c:cat>
            <c:strRef>
              <c:f>('NG-based (+2)'!$Y$2,'NG-based (+2)'!$Z$2,'NG-based (+2)'!$AB$2,'NG-based (+2)'!$AC$2,'NG-based (+2)'!$AD$2)</c:f>
              <c:strCache>
                <c:ptCount val="5"/>
                <c:pt idx="0">
                  <c:v>NG开采处理阶段</c:v>
                </c:pt>
                <c:pt idx="1">
                  <c:v>NG液化阶段</c:v>
                </c:pt>
                <c:pt idx="2">
                  <c:v>LNG运输阶段</c:v>
                </c:pt>
                <c:pt idx="3">
                  <c:v>LNG输配阶段</c:v>
                </c:pt>
                <c:pt idx="4">
                  <c:v>使用阶段</c:v>
                </c:pt>
              </c:strCache>
            </c:strRef>
          </c:cat>
          <c:val>
            <c:numRef>
              <c:f>('NG-based (+2)'!$Y$21,'NG-based (+2)'!$Z$21,'NG-based (+2)'!$AB$21,'NG-based (+2)'!$AC$21,'NG-based (+2)'!$AD$21)</c:f>
              <c:numCache>
                <c:formatCode>0.00_);[Red]\(0.00\)</c:formatCode>
                <c:ptCount val="5"/>
                <c:pt idx="0">
                  <c:v>8.6172757468155936</c:v>
                </c:pt>
                <c:pt idx="1">
                  <c:v>7.1729530273479885</c:v>
                </c:pt>
                <c:pt idx="2">
                  <c:v>0.96305003179275672</c:v>
                </c:pt>
                <c:pt idx="3">
                  <c:v>0.24082008388281975</c:v>
                </c:pt>
                <c:pt idx="4">
                  <c:v>57.122999999999998</c:v>
                </c:pt>
              </c:numCache>
            </c:numRef>
          </c:val>
        </c:ser>
        <c:overlap val="100"/>
        <c:axId val="153511040"/>
        <c:axId val="153512576"/>
      </c:barChart>
      <c:catAx>
        <c:axId val="153511040"/>
        <c:scaling>
          <c:orientation val="minMax"/>
        </c:scaling>
        <c:axPos val="b"/>
        <c:numFmt formatCode="General" sourceLinked="1"/>
        <c:tickLblPos val="nextTo"/>
        <c:crossAx val="153512576"/>
        <c:crosses val="autoZero"/>
        <c:auto val="1"/>
        <c:lblAlgn val="ctr"/>
        <c:lblOffset val="100"/>
      </c:catAx>
      <c:valAx>
        <c:axId val="153512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</c:title>
        <c:numFmt formatCode="#,##0;[Red]\-#,##0" sourceLinked="0"/>
        <c:tickLblPos val="nextTo"/>
        <c:crossAx val="153511040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0824742268041262"/>
          <c:y val="4.7468354430379764E-2"/>
          <c:w val="0.86597938144330133"/>
          <c:h val="0.84177215189873422"/>
        </c:manualLayout>
      </c:layout>
      <c:barChart>
        <c:barDir val="col"/>
        <c:grouping val="stacked"/>
        <c:ser>
          <c:idx val="0"/>
          <c:order val="0"/>
          <c:dLbls>
            <c:numFmt formatCode="#,##0.00;[Red]\-#,##0.00" sourceLinked="0"/>
            <c:showVal val="1"/>
          </c:dLbls>
          <c:cat>
            <c:strRef>
              <c:f>('NG-based (+2)'!$AH$2,'NG-based (+2)'!$AI$2,'NG-based (+2)'!$AK$2,'NG-based (+2)'!$AL$2)</c:f>
              <c:strCache>
                <c:ptCount val="4"/>
                <c:pt idx="0">
                  <c:v>NG开采处理阶段</c:v>
                </c:pt>
                <c:pt idx="1">
                  <c:v>NG液化阶段</c:v>
                </c:pt>
                <c:pt idx="2">
                  <c:v>LNG输配阶段</c:v>
                </c:pt>
                <c:pt idx="3">
                  <c:v>使用阶段</c:v>
                </c:pt>
              </c:strCache>
            </c:strRef>
          </c:cat>
          <c:val>
            <c:numRef>
              <c:f>('NG-based (+2)'!$AH$21,'NG-based (+2)'!$AI$21,'NG-based (+2)'!$AK$21,'NG-based (+2)'!$AL$21)</c:f>
              <c:numCache>
                <c:formatCode>0.00_);[Red]\(0.00\)</c:formatCode>
                <c:ptCount val="4"/>
                <c:pt idx="0">
                  <c:v>8.6172757468155936</c:v>
                </c:pt>
                <c:pt idx="1">
                  <c:v>11.412462692643675</c:v>
                </c:pt>
                <c:pt idx="2">
                  <c:v>0.24082008388281975</c:v>
                </c:pt>
                <c:pt idx="3">
                  <c:v>57.122999999999998</c:v>
                </c:pt>
              </c:numCache>
            </c:numRef>
          </c:val>
        </c:ser>
        <c:overlap val="100"/>
        <c:axId val="153549056"/>
        <c:axId val="153554944"/>
      </c:barChart>
      <c:catAx>
        <c:axId val="153549056"/>
        <c:scaling>
          <c:orientation val="minMax"/>
        </c:scaling>
        <c:axPos val="b"/>
        <c:numFmt formatCode="General" sourceLinked="1"/>
        <c:tickLblPos val="nextTo"/>
        <c:crossAx val="153554944"/>
        <c:crosses val="autoZero"/>
        <c:auto val="1"/>
        <c:lblAlgn val="ctr"/>
        <c:lblOffset val="100"/>
      </c:catAx>
      <c:valAx>
        <c:axId val="153554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</c:title>
        <c:numFmt formatCode="#,##0;[Red]\-#,##0" sourceLinked="0"/>
        <c:tickLblPos val="nextTo"/>
        <c:crossAx val="153549056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1836734693877556E-2"/>
          <c:y val="4.6439628482972076E-2"/>
          <c:w val="0.88629737609329462"/>
          <c:h val="0.84520123839009675"/>
        </c:manualLayout>
      </c:layout>
      <c:barChart>
        <c:barDir val="col"/>
        <c:grouping val="stacked"/>
        <c:ser>
          <c:idx val="0"/>
          <c:order val="0"/>
          <c:dLbls>
            <c:numFmt formatCode="#,##0.00;[Red]\-#,##0.00" sourceLinked="0"/>
            <c:showVal val="1"/>
          </c:dLbls>
          <c:cat>
            <c:strRef>
              <c:f>('NG-based (+2)'!$AQ$2,'NG-based (+2)'!$AR$2,'NG-based (+2)'!$AS$2,'NG-based (+2)'!$AU$2,'NG-based (+2)'!$AV$2)</c:f>
              <c:strCache>
                <c:ptCount val="5"/>
                <c:pt idx="0">
                  <c:v>NG开采处理阶段</c:v>
                </c:pt>
                <c:pt idx="1">
                  <c:v>NG输配阶段</c:v>
                </c:pt>
                <c:pt idx="2">
                  <c:v>NG液化阶段</c:v>
                </c:pt>
                <c:pt idx="3">
                  <c:v>LNG输配阶段</c:v>
                </c:pt>
                <c:pt idx="4">
                  <c:v>使用阶段</c:v>
                </c:pt>
              </c:strCache>
            </c:strRef>
          </c:cat>
          <c:val>
            <c:numRef>
              <c:f>('NG-based (+2)'!$AQ$21,'NG-based (+2)'!$AR$21,'NG-based (+2)'!$AS$21,'NG-based (+2)'!$AU$21,'NG-based (+2)'!$AV$21)</c:f>
              <c:numCache>
                <c:formatCode>0.00_);[Red]\(0.00\)</c:formatCode>
                <c:ptCount val="5"/>
                <c:pt idx="0" formatCode="0.0">
                  <c:v>8.6172757468155936</c:v>
                </c:pt>
                <c:pt idx="1">
                  <c:v>0.50635542828455526</c:v>
                </c:pt>
                <c:pt idx="2">
                  <c:v>11.402692356527393</c:v>
                </c:pt>
                <c:pt idx="3" formatCode="0.0">
                  <c:v>0.24082008388281975</c:v>
                </c:pt>
                <c:pt idx="4">
                  <c:v>57.122999999999998</c:v>
                </c:pt>
              </c:numCache>
            </c:numRef>
          </c:val>
        </c:ser>
        <c:overlap val="100"/>
        <c:axId val="153574784"/>
        <c:axId val="153580672"/>
      </c:barChart>
      <c:catAx>
        <c:axId val="153574784"/>
        <c:scaling>
          <c:orientation val="minMax"/>
        </c:scaling>
        <c:axPos val="b"/>
        <c:numFmt formatCode="General" sourceLinked="1"/>
        <c:tickLblPos val="nextTo"/>
        <c:crossAx val="153580672"/>
        <c:crosses val="autoZero"/>
        <c:auto val="1"/>
        <c:lblAlgn val="ctr"/>
        <c:lblOffset val="100"/>
      </c:catAx>
      <c:valAx>
        <c:axId val="153580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</c:title>
        <c:numFmt formatCode="#,##0;[Red]\-#,##0" sourceLinked="0"/>
        <c:tickLblPos val="nextTo"/>
        <c:crossAx val="153574784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666666666666672"/>
          <c:y val="5.1851851851851864E-2"/>
          <c:w val="0.85740740740740762"/>
          <c:h val="0.81851851851851865"/>
        </c:manualLayout>
      </c:layout>
      <c:barChart>
        <c:barDir val="col"/>
        <c:grouping val="stacked"/>
        <c:ser>
          <c:idx val="0"/>
          <c:order val="0"/>
          <c:dLbls>
            <c:numFmt formatCode="#,##0.00;[Red]\-#,##0.00" sourceLinked="0"/>
            <c:showVal val="1"/>
          </c:dLbls>
          <c:cat>
            <c:strRef>
              <c:f>Coal!$F$2:$H$2</c:f>
              <c:strCache>
                <c:ptCount val="3"/>
                <c:pt idx="0">
                  <c:v>原煤开采处理</c:v>
                </c:pt>
                <c:pt idx="1">
                  <c:v>煤炭运输</c:v>
                </c:pt>
                <c:pt idx="2">
                  <c:v>煤炭使用</c:v>
                </c:pt>
              </c:strCache>
            </c:strRef>
          </c:cat>
          <c:val>
            <c:numRef>
              <c:f>Coal!$F$13:$H$13</c:f>
              <c:numCache>
                <c:formatCode>0.000_);[Red]\(0.000\)</c:formatCode>
                <c:ptCount val="3"/>
                <c:pt idx="0">
                  <c:v>16.557100219389664</c:v>
                </c:pt>
                <c:pt idx="1">
                  <c:v>1.1157924929891374</c:v>
                </c:pt>
                <c:pt idx="2">
                  <c:v>81.667298000000002</c:v>
                </c:pt>
              </c:numCache>
            </c:numRef>
          </c:val>
        </c:ser>
        <c:overlap val="100"/>
        <c:axId val="153662592"/>
        <c:axId val="153664128"/>
      </c:barChart>
      <c:catAx>
        <c:axId val="153662592"/>
        <c:scaling>
          <c:orientation val="minMax"/>
        </c:scaling>
        <c:axPos val="b"/>
        <c:numFmt formatCode="General" sourceLinked="1"/>
        <c:tickLblPos val="nextTo"/>
        <c:crossAx val="153664128"/>
        <c:crosses val="autoZero"/>
        <c:auto val="1"/>
        <c:lblAlgn val="ctr"/>
        <c:lblOffset val="100"/>
      </c:catAx>
      <c:valAx>
        <c:axId val="153664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layout/>
        </c:title>
        <c:numFmt formatCode="#,##0;[Red]\-#,##0" sourceLinked="0"/>
        <c:tickLblPos val="nextTo"/>
        <c:crossAx val="153662592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5.3846153846153863E-2"/>
          <c:y val="5.9829059829059825E-2"/>
          <c:w val="0.92153846153846153"/>
          <c:h val="0.78632478632478664"/>
        </c:manualLayout>
      </c:layout>
      <c:barChart>
        <c:barDir val="col"/>
        <c:grouping val="stacked"/>
        <c:ser>
          <c:idx val="0"/>
          <c:order val="0"/>
          <c:dLbls>
            <c:showVal val="1"/>
          </c:dLbls>
          <c:cat>
            <c:strRef>
              <c:f>'fuel summary'!$E$22:$I$22</c:f>
              <c:strCache>
                <c:ptCount val="5"/>
                <c:pt idx="0">
                  <c:v>NG开采处理阶段</c:v>
                </c:pt>
                <c:pt idx="1">
                  <c:v>NG运输阶段</c:v>
                </c:pt>
                <c:pt idx="2">
                  <c:v>NG压缩阶段</c:v>
                </c:pt>
                <c:pt idx="3">
                  <c:v>CNG运输</c:v>
                </c:pt>
                <c:pt idx="4">
                  <c:v>使用阶段</c:v>
                </c:pt>
              </c:strCache>
            </c:strRef>
          </c:cat>
          <c:val>
            <c:numRef>
              <c:f>'fuel summary'!$E$31:$I$31</c:f>
              <c:numCache>
                <c:formatCode>0.0</c:formatCode>
                <c:ptCount val="5"/>
                <c:pt idx="0">
                  <c:v>8.624099846662256</c:v>
                </c:pt>
                <c:pt idx="1">
                  <c:v>0.2027449162300522</c:v>
                </c:pt>
                <c:pt idx="2">
                  <c:v>7.1817853904384101</c:v>
                </c:pt>
                <c:pt idx="3">
                  <c:v>0</c:v>
                </c:pt>
                <c:pt idx="4">
                  <c:v>57.122999999999998</c:v>
                </c:pt>
              </c:numCache>
            </c:numRef>
          </c:val>
        </c:ser>
        <c:overlap val="100"/>
        <c:axId val="152070016"/>
        <c:axId val="152071552"/>
      </c:barChart>
      <c:catAx>
        <c:axId val="152070016"/>
        <c:scaling>
          <c:orientation val="minMax"/>
        </c:scaling>
        <c:axPos val="b"/>
        <c:numFmt formatCode="General" sourceLinked="1"/>
        <c:tickLblPos val="nextTo"/>
        <c:crossAx val="152071552"/>
        <c:crosses val="autoZero"/>
        <c:auto val="1"/>
        <c:lblAlgn val="ctr"/>
        <c:lblOffset val="100"/>
      </c:catAx>
      <c:valAx>
        <c:axId val="152071552"/>
        <c:scaling>
          <c:orientation val="minMax"/>
        </c:scaling>
        <c:axPos val="l"/>
        <c:majorGridlines/>
        <c:numFmt formatCode="#,##0;[Red]\-#,##0" sourceLinked="0"/>
        <c:tickLblPos val="nextTo"/>
        <c:crossAx val="152070016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5.9259259259259262E-2"/>
          <c:y val="5.5350553505535083E-2"/>
          <c:w val="0.74814814814815045"/>
          <c:h val="0.81549815498154976"/>
        </c:manualLayout>
      </c:layout>
      <c:barChart>
        <c:barDir val="col"/>
        <c:grouping val="stacked"/>
        <c:ser>
          <c:idx val="0"/>
          <c:order val="0"/>
          <c:tx>
            <c:strRef>
              <c:f>Coal!$E$10</c:f>
              <c:strCache>
                <c:ptCount val="1"/>
                <c:pt idx="0">
                  <c:v>LCA-CO2</c:v>
                </c:pt>
              </c:strCache>
            </c:strRef>
          </c:tx>
          <c:cat>
            <c:strRef>
              <c:f>Coal!$F$2:$H$2</c:f>
              <c:strCache>
                <c:ptCount val="3"/>
                <c:pt idx="0">
                  <c:v>原煤开采处理</c:v>
                </c:pt>
                <c:pt idx="1">
                  <c:v>煤炭运输</c:v>
                </c:pt>
                <c:pt idx="2">
                  <c:v>煤炭使用</c:v>
                </c:pt>
              </c:strCache>
            </c:strRef>
          </c:cat>
          <c:val>
            <c:numRef>
              <c:f>Coal!$F$10:$H$10</c:f>
              <c:numCache>
                <c:formatCode>General</c:formatCode>
                <c:ptCount val="3"/>
                <c:pt idx="0">
                  <c:v>5.7264489527531293</c:v>
                </c:pt>
                <c:pt idx="1">
                  <c:v>1.0854592421650162</c:v>
                </c:pt>
                <c:pt idx="2">
                  <c:v>81.641999999999996</c:v>
                </c:pt>
              </c:numCache>
            </c:numRef>
          </c:val>
        </c:ser>
        <c:ser>
          <c:idx val="1"/>
          <c:order val="1"/>
          <c:tx>
            <c:strRef>
              <c:f>Coal!$E$11</c:f>
              <c:strCache>
                <c:ptCount val="1"/>
                <c:pt idx="0">
                  <c:v>LCA-CH4</c:v>
                </c:pt>
              </c:strCache>
            </c:strRef>
          </c:tx>
          <c:cat>
            <c:strRef>
              <c:f>Coal!$F$2:$H$2</c:f>
              <c:strCache>
                <c:ptCount val="3"/>
                <c:pt idx="0">
                  <c:v>原煤开采处理</c:v>
                </c:pt>
                <c:pt idx="1">
                  <c:v>煤炭运输</c:v>
                </c:pt>
                <c:pt idx="2">
                  <c:v>煤炭使用</c:v>
                </c:pt>
              </c:strCache>
            </c:strRef>
          </c:cat>
          <c:val>
            <c:numRef>
              <c:f>Coal!$F$11:$H$11</c:f>
              <c:numCache>
                <c:formatCode>General</c:formatCode>
                <c:ptCount val="3"/>
                <c:pt idx="0">
                  <c:v>0.43322457209739174</c:v>
                </c:pt>
                <c:pt idx="1">
                  <c:v>1.2103680781498586E-3</c:v>
                </c:pt>
                <c:pt idx="2">
                  <c:v>1E-3</c:v>
                </c:pt>
              </c:numCache>
            </c:numRef>
          </c:val>
        </c:ser>
        <c:ser>
          <c:idx val="2"/>
          <c:order val="2"/>
          <c:tx>
            <c:strRef>
              <c:f>Coal!$E$12</c:f>
              <c:strCache>
                <c:ptCount val="1"/>
                <c:pt idx="0">
                  <c:v>LCA-N2O</c:v>
                </c:pt>
              </c:strCache>
            </c:strRef>
          </c:tx>
          <c:cat>
            <c:strRef>
              <c:f>Coal!$F$2:$H$2</c:f>
              <c:strCache>
                <c:ptCount val="3"/>
                <c:pt idx="0">
                  <c:v>原煤开采处理</c:v>
                </c:pt>
                <c:pt idx="1">
                  <c:v>煤炭运输</c:v>
                </c:pt>
                <c:pt idx="2">
                  <c:v>煤炭使用</c:v>
                </c:pt>
              </c:strCache>
            </c:strRef>
          </c:cat>
          <c:val>
            <c:numRef>
              <c:f>Coal!$F$12:$H$12</c:f>
              <c:numCache>
                <c:formatCode>General</c:formatCode>
                <c:ptCount val="3"/>
                <c:pt idx="0">
                  <c:v>1.240409454488117E-4</c:v>
                </c:pt>
                <c:pt idx="1">
                  <c:v>2.4848614219686406E-4</c:v>
                </c:pt>
                <c:pt idx="2">
                  <c:v>1E-3</c:v>
                </c:pt>
              </c:numCache>
            </c:numRef>
          </c:val>
        </c:ser>
        <c:overlap val="100"/>
        <c:axId val="153689472"/>
        <c:axId val="153711744"/>
      </c:barChart>
      <c:catAx>
        <c:axId val="153689472"/>
        <c:scaling>
          <c:orientation val="minMax"/>
        </c:scaling>
        <c:axPos val="b"/>
        <c:numFmt formatCode="General" sourceLinked="1"/>
        <c:tickLblPos val="nextTo"/>
        <c:crossAx val="153711744"/>
        <c:crosses val="autoZero"/>
        <c:auto val="1"/>
        <c:lblAlgn val="ctr"/>
        <c:lblOffset val="100"/>
      </c:catAx>
      <c:valAx>
        <c:axId val="153711744"/>
        <c:scaling>
          <c:orientation val="minMax"/>
        </c:scaling>
        <c:axPos val="l"/>
        <c:majorGridlines/>
        <c:numFmt formatCode="General" sourceLinked="1"/>
        <c:tickLblPos val="nextTo"/>
        <c:crossAx val="1536894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2048192771084337"/>
          <c:y val="5.1851851851851864E-2"/>
          <c:w val="0.85370051635112265"/>
          <c:h val="0.81851851851851865"/>
        </c:manualLayout>
      </c:layout>
      <c:barChart>
        <c:barDir val="col"/>
        <c:grouping val="stacked"/>
        <c:ser>
          <c:idx val="0"/>
          <c:order val="0"/>
          <c:dLbls>
            <c:numFmt formatCode="#,##0.00;[Red]\-#,##0.00" sourceLinked="0"/>
            <c:showVal val="1"/>
          </c:dLbls>
          <c:cat>
            <c:strRef>
              <c:f>CtL!$D$27:$H$27</c:f>
              <c:strCache>
                <c:ptCount val="5"/>
                <c:pt idx="0">
                  <c:v>原煤开采处理</c:v>
                </c:pt>
                <c:pt idx="1">
                  <c:v>煤炭运输</c:v>
                </c:pt>
                <c:pt idx="2">
                  <c:v>CTL制备</c:v>
                </c:pt>
                <c:pt idx="3">
                  <c:v>CTL输配</c:v>
                </c:pt>
                <c:pt idx="4">
                  <c:v>CTL燃烧</c:v>
                </c:pt>
              </c:strCache>
            </c:strRef>
          </c:cat>
          <c:val>
            <c:numRef>
              <c:f>CtL!$D$28:$H$28</c:f>
              <c:numCache>
                <c:formatCode>0.0</c:formatCode>
                <c:ptCount val="5"/>
                <c:pt idx="0">
                  <c:v>33.584381783751859</c:v>
                </c:pt>
                <c:pt idx="1">
                  <c:v>2.2632707768542346</c:v>
                </c:pt>
                <c:pt idx="2">
                  <c:v>91.35374847870186</c:v>
                </c:pt>
                <c:pt idx="3">
                  <c:v>0.95858663514955988</c:v>
                </c:pt>
                <c:pt idx="4">
                  <c:v>74.3</c:v>
                </c:pt>
              </c:numCache>
            </c:numRef>
          </c:val>
        </c:ser>
        <c:overlap val="100"/>
        <c:axId val="153794048"/>
        <c:axId val="153795584"/>
      </c:barChart>
      <c:catAx>
        <c:axId val="153794048"/>
        <c:scaling>
          <c:orientation val="minMax"/>
        </c:scaling>
        <c:axPos val="b"/>
        <c:numFmt formatCode="General" sourceLinked="1"/>
        <c:tickLblPos val="nextTo"/>
        <c:crossAx val="153795584"/>
        <c:crosses val="autoZero"/>
        <c:auto val="1"/>
        <c:lblAlgn val="ctr"/>
        <c:lblOffset val="100"/>
      </c:catAx>
      <c:valAx>
        <c:axId val="153795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</c:title>
        <c:numFmt formatCode="#,##0;[Red]\-#,##0" sourceLinked="0"/>
        <c:tickLblPos val="nextTo"/>
        <c:crossAx val="153794048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0885341074020319"/>
          <c:y val="5.1851851851851864E-2"/>
          <c:w val="0.86937590711175661"/>
          <c:h val="0.88888888888888884"/>
        </c:manualLayout>
      </c:layout>
      <c:barChart>
        <c:barDir val="col"/>
        <c:grouping val="stacked"/>
        <c:ser>
          <c:idx val="0"/>
          <c:order val="0"/>
          <c:dLbls>
            <c:numFmt formatCode="#,##0.00;[Red]\-#,##0.00" sourceLinked="0"/>
            <c:showVal val="1"/>
          </c:dLbls>
          <c:cat>
            <c:strRef>
              <c:f>'CtL(CCS)'!$D$31:$I$31</c:f>
              <c:strCache>
                <c:ptCount val="6"/>
                <c:pt idx="0">
                  <c:v>原煤开采处理</c:v>
                </c:pt>
                <c:pt idx="1">
                  <c:v>煤炭运输</c:v>
                </c:pt>
                <c:pt idx="2">
                  <c:v>CTL制备</c:v>
                </c:pt>
                <c:pt idx="3">
                  <c:v>捕获</c:v>
                </c:pt>
                <c:pt idx="4">
                  <c:v>CTL输配</c:v>
                </c:pt>
                <c:pt idx="5">
                  <c:v>CTL燃烧</c:v>
                </c:pt>
              </c:strCache>
            </c:strRef>
          </c:cat>
          <c:val>
            <c:numRef>
              <c:f>'CtL(CCS)'!$D$32:$I$32</c:f>
              <c:numCache>
                <c:formatCode>0.0</c:formatCode>
                <c:ptCount val="6"/>
                <c:pt idx="0">
                  <c:v>38.504884231138753</c:v>
                </c:pt>
                <c:pt idx="1">
                  <c:v>2.5948662627654357</c:v>
                </c:pt>
                <c:pt idx="2">
                  <c:v>115.62394883720931</c:v>
                </c:pt>
                <c:pt idx="3">
                  <c:v>-82.172190669371219</c:v>
                </c:pt>
                <c:pt idx="4">
                  <c:v>0.95858663514955988</c:v>
                </c:pt>
                <c:pt idx="5">
                  <c:v>74.3</c:v>
                </c:pt>
              </c:numCache>
            </c:numRef>
          </c:val>
        </c:ser>
        <c:overlap val="100"/>
        <c:axId val="154043136"/>
        <c:axId val="154044672"/>
      </c:barChart>
      <c:catAx>
        <c:axId val="154043136"/>
        <c:scaling>
          <c:orientation val="minMax"/>
        </c:scaling>
        <c:axPos val="b"/>
        <c:numFmt formatCode="General" sourceLinked="1"/>
        <c:tickLblPos val="nextTo"/>
        <c:crossAx val="154044672"/>
        <c:crosses val="autoZero"/>
        <c:auto val="1"/>
        <c:lblAlgn val="ctr"/>
        <c:lblOffset val="100"/>
      </c:catAx>
      <c:valAx>
        <c:axId val="154044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</c:title>
        <c:numFmt formatCode="#,##0;[Red]\-#,##0" sourceLinked="0"/>
        <c:tickLblPos val="nextTo"/>
        <c:crossAx val="154043136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0956516864076793"/>
          <c:y val="3.6858269272090599E-2"/>
          <c:w val="0.86434782608695671"/>
          <c:h val="0.81851851851851865"/>
        </c:manualLayout>
      </c:layout>
      <c:barChart>
        <c:barDir val="col"/>
        <c:grouping val="stacked"/>
        <c:ser>
          <c:idx val="0"/>
          <c:order val="0"/>
          <c:dLbls>
            <c:numFmt formatCode="#,##0.00;[Red]\-#,##0.00" sourceLinked="0"/>
            <c:showVal val="1"/>
          </c:dLbls>
          <c:cat>
            <c:strRef>
              <c:f>'Oil-based'!$F$2:$J$2</c:f>
              <c:strCache>
                <c:ptCount val="5"/>
                <c:pt idx="0">
                  <c:v>原油开采处理</c:v>
                </c:pt>
                <c:pt idx="1">
                  <c:v>原油运输</c:v>
                </c:pt>
                <c:pt idx="2">
                  <c:v>柴油炼制</c:v>
                </c:pt>
                <c:pt idx="3">
                  <c:v>柴油输配</c:v>
                </c:pt>
                <c:pt idx="4">
                  <c:v>柴油使用</c:v>
                </c:pt>
              </c:strCache>
            </c:strRef>
          </c:cat>
          <c:val>
            <c:numRef>
              <c:f>'Oil-based'!$F$13:$J$13</c:f>
              <c:numCache>
                <c:formatCode>0.000_);[Red]\(0.000\)</c:formatCode>
                <c:ptCount val="5"/>
                <c:pt idx="0">
                  <c:v>8.3887934180127317</c:v>
                </c:pt>
                <c:pt idx="1">
                  <c:v>1.5006720632324757</c:v>
                </c:pt>
                <c:pt idx="2">
                  <c:v>9.3306357235172435</c:v>
                </c:pt>
                <c:pt idx="3">
                  <c:v>0.95858663514955988</c:v>
                </c:pt>
                <c:pt idx="4">
                  <c:v>72.693677333333312</c:v>
                </c:pt>
              </c:numCache>
            </c:numRef>
          </c:val>
        </c:ser>
        <c:overlap val="100"/>
        <c:axId val="154528768"/>
        <c:axId val="154571520"/>
      </c:barChart>
      <c:catAx>
        <c:axId val="154528768"/>
        <c:scaling>
          <c:orientation val="minMax"/>
        </c:scaling>
        <c:axPos val="b"/>
        <c:numFmt formatCode="General" sourceLinked="1"/>
        <c:tickLblPos val="nextTo"/>
        <c:crossAx val="154571520"/>
        <c:crosses val="autoZero"/>
        <c:auto val="1"/>
        <c:lblAlgn val="ctr"/>
        <c:lblOffset val="100"/>
      </c:catAx>
      <c:valAx>
        <c:axId val="154571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zh-CN" altLang="zh-CN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GHG (g CO2,e/MJ)</a:t>
                </a:r>
                <a:endParaRPr lang="zh-CN" altLang="zh-CN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</c:title>
        <c:numFmt formatCode="#,##0;[Red]\-#,##0" sourceLinked="0"/>
        <c:tickLblPos val="nextTo"/>
        <c:crossAx val="154528768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190053285968028"/>
          <c:y val="5.5350553505535083E-2"/>
          <c:w val="0.86323268206039072"/>
          <c:h val="0.81549815498154976"/>
        </c:manualLayout>
      </c:layout>
      <c:barChart>
        <c:barDir val="col"/>
        <c:grouping val="stacked"/>
        <c:ser>
          <c:idx val="0"/>
          <c:order val="0"/>
          <c:dLbls>
            <c:numFmt formatCode="#,##0.00;[Red]\-#,##0.00" sourceLinked="0"/>
            <c:showVal val="1"/>
          </c:dLbls>
          <c:cat>
            <c:strRef>
              <c:f>'Oil-based'!$N$2:$R$2</c:f>
              <c:strCache>
                <c:ptCount val="5"/>
                <c:pt idx="0">
                  <c:v>原油开采处理</c:v>
                </c:pt>
                <c:pt idx="1">
                  <c:v>原油运输</c:v>
                </c:pt>
                <c:pt idx="2">
                  <c:v>汽油炼制</c:v>
                </c:pt>
                <c:pt idx="3">
                  <c:v>汽油输配</c:v>
                </c:pt>
                <c:pt idx="4">
                  <c:v>汽油使用</c:v>
                </c:pt>
              </c:strCache>
            </c:strRef>
          </c:cat>
          <c:val>
            <c:numRef>
              <c:f>'Oil-based'!$N$13:$R$13</c:f>
              <c:numCache>
                <c:formatCode>0.000_);[Red]\(0.000\)</c:formatCode>
                <c:ptCount val="5"/>
                <c:pt idx="0">
                  <c:v>8.4452836093798194</c:v>
                </c:pt>
                <c:pt idx="1">
                  <c:v>1.5107775990118193</c:v>
                </c:pt>
                <c:pt idx="2">
                  <c:v>9.8741679015862189</c:v>
                </c:pt>
                <c:pt idx="3">
                  <c:v>1.0133581338852193</c:v>
                </c:pt>
                <c:pt idx="4">
                  <c:v>69.914596000000003</c:v>
                </c:pt>
              </c:numCache>
            </c:numRef>
          </c:val>
        </c:ser>
        <c:overlap val="100"/>
        <c:axId val="154584192"/>
        <c:axId val="154585728"/>
      </c:barChart>
      <c:catAx>
        <c:axId val="154584192"/>
        <c:scaling>
          <c:orientation val="minMax"/>
        </c:scaling>
        <c:axPos val="b"/>
        <c:numFmt formatCode="General" sourceLinked="1"/>
        <c:tickLblPos val="nextTo"/>
        <c:crossAx val="154585728"/>
        <c:crosses val="autoZero"/>
        <c:auto val="1"/>
        <c:lblAlgn val="ctr"/>
        <c:lblOffset val="100"/>
      </c:catAx>
      <c:valAx>
        <c:axId val="154585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</a:t>
                </a:r>
                <a:r>
                  <a:rPr lang="en-US" altLang="zh-CN" baseline="0"/>
                  <a:t> (g CO2,e/MJ)</a:t>
                </a:r>
                <a:endParaRPr lang="zh-CN" altLang="en-US"/>
              </a:p>
            </c:rich>
          </c:tx>
          <c:layout/>
        </c:title>
        <c:numFmt formatCode="#,##0;[Red]\-#,##0" sourceLinked="0"/>
        <c:tickLblPos val="nextTo"/>
        <c:crossAx val="154584192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170212765957446"/>
          <c:y val="5.1851851851851864E-2"/>
          <c:w val="0.8634751773049647"/>
          <c:h val="0.81851851851851865"/>
        </c:manualLayout>
      </c:layout>
      <c:barChart>
        <c:barDir val="col"/>
        <c:grouping val="stacked"/>
        <c:ser>
          <c:idx val="0"/>
          <c:order val="0"/>
          <c:dLbls>
            <c:numFmt formatCode="#,##0.00;[Red]\-#,##0.00" sourceLinked="0"/>
            <c:showVal val="1"/>
          </c:dLbls>
          <c:cat>
            <c:strRef>
              <c:f>'Oil-based'!$V$2:$Z$2</c:f>
              <c:strCache>
                <c:ptCount val="5"/>
                <c:pt idx="0">
                  <c:v>原油开采处理</c:v>
                </c:pt>
                <c:pt idx="1">
                  <c:v>原油运输</c:v>
                </c:pt>
                <c:pt idx="2">
                  <c:v>燃料油炼制</c:v>
                </c:pt>
                <c:pt idx="3">
                  <c:v>燃料油输配</c:v>
                </c:pt>
                <c:pt idx="4">
                  <c:v>燃料油使用</c:v>
                </c:pt>
              </c:strCache>
            </c:strRef>
          </c:cat>
          <c:val>
            <c:numRef>
              <c:f>'Oil-based'!$V$13:$Z$13</c:f>
              <c:numCache>
                <c:formatCode>0.000_);[Red]\(0.000\)</c:formatCode>
                <c:ptCount val="5"/>
                <c:pt idx="0">
                  <c:v>7.8399981477950744</c:v>
                </c:pt>
                <c:pt idx="1">
                  <c:v>1.3604230837059088</c:v>
                </c:pt>
                <c:pt idx="2">
                  <c:v>5.4353217806896614</c:v>
                </c:pt>
                <c:pt idx="3">
                  <c:v>0.95858663514955988</c:v>
                </c:pt>
                <c:pt idx="4">
                  <c:v>75.86933333333333</c:v>
                </c:pt>
              </c:numCache>
            </c:numRef>
          </c:val>
        </c:ser>
        <c:overlap val="100"/>
        <c:axId val="154421504"/>
        <c:axId val="154427392"/>
      </c:barChart>
      <c:catAx>
        <c:axId val="154421504"/>
        <c:scaling>
          <c:orientation val="minMax"/>
        </c:scaling>
        <c:axPos val="b"/>
        <c:numFmt formatCode="General" sourceLinked="1"/>
        <c:tickLblPos val="nextTo"/>
        <c:crossAx val="154427392"/>
        <c:crosses val="autoZero"/>
        <c:auto val="1"/>
        <c:lblAlgn val="ctr"/>
        <c:lblOffset val="100"/>
      </c:catAx>
      <c:valAx>
        <c:axId val="154427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</c:title>
        <c:numFmt formatCode="#,##0;[Red]\-#,##0" sourceLinked="0"/>
        <c:tickLblPos val="nextTo"/>
        <c:crossAx val="154421504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6.8904593639575976E-2"/>
          <c:y val="5.1851851851851864E-2"/>
          <c:w val="0.90459363957597172"/>
          <c:h val="0.81851851851851865"/>
        </c:manualLayout>
      </c:layout>
      <c:barChart>
        <c:barDir val="col"/>
        <c:grouping val="stacked"/>
        <c:ser>
          <c:idx val="0"/>
          <c:order val="0"/>
          <c:dLbls>
            <c:showVal val="1"/>
          </c:dLbls>
          <c:cat>
            <c:strRef>
              <c:f>GridE!$K$23:$K$27</c:f>
              <c:strCache>
                <c:ptCount val="5"/>
                <c:pt idx="0">
                  <c:v>东北电网</c:v>
                </c:pt>
                <c:pt idx="1">
                  <c:v>华北电网</c:v>
                </c:pt>
                <c:pt idx="2">
                  <c:v>华南电网</c:v>
                </c:pt>
                <c:pt idx="4">
                  <c:v>全国平均</c:v>
                </c:pt>
              </c:strCache>
            </c:strRef>
          </c:cat>
          <c:val>
            <c:numRef>
              <c:f>GridE!$Q$23:$Q$27</c:f>
              <c:numCache>
                <c:formatCode>0</c:formatCode>
                <c:ptCount val="5"/>
                <c:pt idx="0">
                  <c:v>274.67203757899767</c:v>
                </c:pt>
                <c:pt idx="1">
                  <c:v>286.14744343342312</c:v>
                </c:pt>
                <c:pt idx="2">
                  <c:v>191.55034513441328</c:v>
                </c:pt>
                <c:pt idx="4">
                  <c:v>237.06320573794014</c:v>
                </c:pt>
              </c:numCache>
            </c:numRef>
          </c:val>
        </c:ser>
        <c:overlap val="100"/>
        <c:axId val="154705920"/>
        <c:axId val="154707456"/>
      </c:barChart>
      <c:catAx>
        <c:axId val="154705920"/>
        <c:scaling>
          <c:orientation val="minMax"/>
        </c:scaling>
        <c:axPos val="b"/>
        <c:numFmt formatCode="General" sourceLinked="1"/>
        <c:tickLblPos val="nextTo"/>
        <c:crossAx val="154707456"/>
        <c:crosses val="autoZero"/>
        <c:auto val="1"/>
        <c:lblAlgn val="ctr"/>
        <c:lblOffset val="100"/>
      </c:catAx>
      <c:valAx>
        <c:axId val="154707456"/>
        <c:scaling>
          <c:orientation val="minMax"/>
        </c:scaling>
        <c:axPos val="l"/>
        <c:majorGridlines/>
        <c:numFmt formatCode="0" sourceLinked="1"/>
        <c:tickLblPos val="nextTo"/>
        <c:crossAx val="154705920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2677106717534095"/>
          <c:y val="4.9505006015910902E-2"/>
          <c:w val="0.6936316695352861"/>
          <c:h val="0.83168316831683153"/>
        </c:manualLayout>
      </c:layout>
      <c:barChart>
        <c:barDir val="col"/>
        <c:grouping val="stacked"/>
        <c:ser>
          <c:idx val="0"/>
          <c:order val="0"/>
          <c:tx>
            <c:strRef>
              <c:f>GridE!$B$16</c:f>
              <c:strCache>
                <c:ptCount val="1"/>
                <c:pt idx="0">
                  <c:v>燃料制备</c:v>
                </c:pt>
              </c:strCache>
            </c:strRef>
          </c:tx>
          <c:dLbls>
            <c:showVal val="1"/>
          </c:dLbls>
          <c:cat>
            <c:strRef>
              <c:f>(GridE!$C$4:$E$4,GridE!$I$4)</c:f>
              <c:strCache>
                <c:ptCount val="4"/>
                <c:pt idx="0">
                  <c:v>煤电</c:v>
                </c:pt>
                <c:pt idx="1">
                  <c:v>气电</c:v>
                </c:pt>
                <c:pt idx="2">
                  <c:v>油电</c:v>
                </c:pt>
                <c:pt idx="3">
                  <c:v>网电</c:v>
                </c:pt>
              </c:strCache>
            </c:strRef>
          </c:cat>
          <c:val>
            <c:numRef>
              <c:f>(GridE!$C$16:$E$16,GridE!$I$16)</c:f>
              <c:numCache>
                <c:formatCode>0</c:formatCode>
                <c:ptCount val="4"/>
                <c:pt idx="0">
                  <c:v>48.648704881558622</c:v>
                </c:pt>
                <c:pt idx="1">
                  <c:v>20.079167096141564</c:v>
                </c:pt>
                <c:pt idx="2">
                  <c:v>48.916253382990114</c:v>
                </c:pt>
                <c:pt idx="3">
                  <c:v>39.401623889676294</c:v>
                </c:pt>
              </c:numCache>
            </c:numRef>
          </c:val>
        </c:ser>
        <c:ser>
          <c:idx val="1"/>
          <c:order val="1"/>
          <c:tx>
            <c:strRef>
              <c:f>GridE!$B$17</c:f>
              <c:strCache>
                <c:ptCount val="1"/>
                <c:pt idx="0">
                  <c:v>燃料运输</c:v>
                </c:pt>
              </c:strCache>
            </c:strRef>
          </c:tx>
          <c:dLbls>
            <c:showVal val="1"/>
          </c:dLbls>
          <c:cat>
            <c:strRef>
              <c:f>(GridE!$C$4:$E$4,GridE!$I$4)</c:f>
              <c:strCache>
                <c:ptCount val="4"/>
                <c:pt idx="0">
                  <c:v>煤电</c:v>
                </c:pt>
                <c:pt idx="1">
                  <c:v>气电</c:v>
                </c:pt>
                <c:pt idx="2">
                  <c:v>油电</c:v>
                </c:pt>
                <c:pt idx="3">
                  <c:v>网电</c:v>
                </c:pt>
              </c:strCache>
            </c:strRef>
          </c:cat>
          <c:val>
            <c:numRef>
              <c:f>(GridE!$C$17:$E$17,GridE!$I$17)</c:f>
              <c:numCache>
                <c:formatCode>0</c:formatCode>
                <c:ptCount val="4"/>
                <c:pt idx="0">
                  <c:v>3.2784641622763631</c:v>
                </c:pt>
                <c:pt idx="1">
                  <c:v>2.3597237812242629</c:v>
                </c:pt>
                <c:pt idx="2">
                  <c:v>3.2038323367298123</c:v>
                </c:pt>
                <c:pt idx="3">
                  <c:v>2.6667333174663472</c:v>
                </c:pt>
              </c:numCache>
            </c:numRef>
          </c:val>
        </c:ser>
        <c:ser>
          <c:idx val="2"/>
          <c:order val="2"/>
          <c:tx>
            <c:strRef>
              <c:f>GridE!$B$18</c:f>
              <c:strCache>
                <c:ptCount val="1"/>
                <c:pt idx="0">
                  <c:v>燃料燃烧</c:v>
                </c:pt>
              </c:strCache>
            </c:strRef>
          </c:tx>
          <c:dLbls>
            <c:showVal val="1"/>
          </c:dLbls>
          <c:cat>
            <c:strRef>
              <c:f>(GridE!$C$4:$E$4,GridE!$I$4)</c:f>
              <c:strCache>
                <c:ptCount val="4"/>
                <c:pt idx="0">
                  <c:v>煤电</c:v>
                </c:pt>
                <c:pt idx="1">
                  <c:v>气电</c:v>
                </c:pt>
                <c:pt idx="2">
                  <c:v>油电</c:v>
                </c:pt>
                <c:pt idx="3">
                  <c:v>网电</c:v>
                </c:pt>
              </c:strCache>
            </c:strRef>
          </c:cat>
          <c:val>
            <c:numRef>
              <c:f>(GridE!$C$18:$E$18,GridE!$I$18)</c:f>
              <c:numCache>
                <c:formatCode>0</c:formatCode>
                <c:ptCount val="4"/>
                <c:pt idx="0">
                  <c:v>239.95797731680082</c:v>
                </c:pt>
                <c:pt idx="1">
                  <c:v>133.10265282583623</c:v>
                </c:pt>
                <c:pt idx="2">
                  <c:v>253.57397504456324</c:v>
                </c:pt>
                <c:pt idx="3">
                  <c:v>194.9948485307975</c:v>
                </c:pt>
              </c:numCache>
            </c:numRef>
          </c:val>
        </c:ser>
        <c:overlap val="100"/>
        <c:axId val="154758144"/>
        <c:axId val="154776320"/>
      </c:barChart>
      <c:catAx>
        <c:axId val="154758144"/>
        <c:scaling>
          <c:orientation val="minMax"/>
        </c:scaling>
        <c:axPos val="b"/>
        <c:numFmt formatCode="General" sourceLinked="1"/>
        <c:tickLblPos val="nextTo"/>
        <c:crossAx val="154776320"/>
        <c:crosses val="autoZero"/>
        <c:auto val="1"/>
        <c:lblAlgn val="ctr"/>
        <c:lblOffset val="100"/>
      </c:catAx>
      <c:valAx>
        <c:axId val="154776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  <a:endParaRPr lang="zh-CN" altLang="en-US"/>
              </a:p>
            </c:rich>
          </c:tx>
          <c:layout/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</c:spPr>
        </c:title>
        <c:numFmt formatCode="0" sourceLinked="1"/>
        <c:tickLblPos val="nextTo"/>
        <c:crossAx val="154758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005799760466869"/>
          <c:y val="0.37623866323640426"/>
          <c:w val="0.15756675075809728"/>
          <c:h val="0.23762445535892171"/>
        </c:manualLayout>
      </c:layout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007518796992478"/>
          <c:y val="5.6603773584905662E-2"/>
          <c:w val="0.64511278195488719"/>
          <c:h val="0.81509433962264155"/>
        </c:manualLayout>
      </c:layout>
      <c:barChart>
        <c:barDir val="col"/>
        <c:grouping val="stacked"/>
        <c:ser>
          <c:idx val="3"/>
          <c:order val="0"/>
          <c:tx>
            <c:strRef>
              <c:f>GridE!$K$38</c:f>
              <c:strCache>
                <c:ptCount val="1"/>
                <c:pt idx="0">
                  <c:v>Feedstock to Fuel</c:v>
                </c:pt>
              </c:strCache>
            </c:strRef>
          </c:tx>
          <c:cat>
            <c:strRef>
              <c:f>GridE!$L$36:$R$36</c:f>
              <c:strCache>
                <c:ptCount val="7"/>
                <c:pt idx="0">
                  <c:v>Coal</c:v>
                </c:pt>
                <c:pt idx="1">
                  <c:v>NG</c:v>
                </c:pt>
                <c:pt idx="2">
                  <c:v>Oil</c:v>
                </c:pt>
                <c:pt idx="3">
                  <c:v>Nuclear</c:v>
                </c:pt>
                <c:pt idx="4">
                  <c:v>Biomass</c:v>
                </c:pt>
                <c:pt idx="5">
                  <c:v>Others</c:v>
                </c:pt>
                <c:pt idx="6">
                  <c:v>Mixed</c:v>
                </c:pt>
              </c:strCache>
            </c:strRef>
          </c:cat>
          <c:val>
            <c:numRef>
              <c:f>GridE!$L$38:$R$38</c:f>
              <c:numCache>
                <c:formatCode>0</c:formatCode>
                <c:ptCount val="7"/>
                <c:pt idx="0">
                  <c:v>48.648704881558622</c:v>
                </c:pt>
                <c:pt idx="1">
                  <c:v>20.079167096141564</c:v>
                </c:pt>
                <c:pt idx="2">
                  <c:v>48.916253382990114</c:v>
                </c:pt>
                <c:pt idx="3">
                  <c:v>6.056</c:v>
                </c:pt>
                <c:pt idx="4">
                  <c:v>0</c:v>
                </c:pt>
                <c:pt idx="5">
                  <c:v>0</c:v>
                </c:pt>
                <c:pt idx="6">
                  <c:v>39.401623889676294</c:v>
                </c:pt>
              </c:numCache>
            </c:numRef>
          </c:val>
        </c:ser>
        <c:ser>
          <c:idx val="4"/>
          <c:order val="1"/>
          <c:tx>
            <c:strRef>
              <c:f>GridE!$K$39</c:f>
              <c:strCache>
                <c:ptCount val="1"/>
                <c:pt idx="0">
                  <c:v>Fuel transportation</c:v>
                </c:pt>
              </c:strCache>
            </c:strRef>
          </c:tx>
          <c:cat>
            <c:strRef>
              <c:f>GridE!$L$36:$R$36</c:f>
              <c:strCache>
                <c:ptCount val="7"/>
                <c:pt idx="0">
                  <c:v>Coal</c:v>
                </c:pt>
                <c:pt idx="1">
                  <c:v>NG</c:v>
                </c:pt>
                <c:pt idx="2">
                  <c:v>Oil</c:v>
                </c:pt>
                <c:pt idx="3">
                  <c:v>Nuclear</c:v>
                </c:pt>
                <c:pt idx="4">
                  <c:v>Biomass</c:v>
                </c:pt>
                <c:pt idx="5">
                  <c:v>Others</c:v>
                </c:pt>
                <c:pt idx="6">
                  <c:v>Mixed</c:v>
                </c:pt>
              </c:strCache>
            </c:strRef>
          </c:cat>
          <c:val>
            <c:numRef>
              <c:f>GridE!$L$39:$R$39</c:f>
              <c:numCache>
                <c:formatCode>0</c:formatCode>
                <c:ptCount val="7"/>
                <c:pt idx="0">
                  <c:v>3.2784641622763631</c:v>
                </c:pt>
                <c:pt idx="1">
                  <c:v>2.3597237812242629</c:v>
                </c:pt>
                <c:pt idx="2">
                  <c:v>3.2038323367298123</c:v>
                </c:pt>
                <c:pt idx="3">
                  <c:v>0</c:v>
                </c:pt>
                <c:pt idx="4">
                  <c:v>5.8460000000000001</c:v>
                </c:pt>
                <c:pt idx="5">
                  <c:v>0</c:v>
                </c:pt>
                <c:pt idx="6">
                  <c:v>2.6667333174663472</c:v>
                </c:pt>
              </c:numCache>
            </c:numRef>
          </c:val>
        </c:ser>
        <c:ser>
          <c:idx val="5"/>
          <c:order val="2"/>
          <c:tx>
            <c:strRef>
              <c:f>GridE!$K$40</c:f>
              <c:strCache>
                <c:ptCount val="1"/>
                <c:pt idx="0">
                  <c:v>Power generation</c:v>
                </c:pt>
              </c:strCache>
            </c:strRef>
          </c:tx>
          <c:cat>
            <c:strRef>
              <c:f>GridE!$L$36:$R$36</c:f>
              <c:strCache>
                <c:ptCount val="7"/>
                <c:pt idx="0">
                  <c:v>Coal</c:v>
                </c:pt>
                <c:pt idx="1">
                  <c:v>NG</c:v>
                </c:pt>
                <c:pt idx="2">
                  <c:v>Oil</c:v>
                </c:pt>
                <c:pt idx="3">
                  <c:v>Nuclear</c:v>
                </c:pt>
                <c:pt idx="4">
                  <c:v>Biomass</c:v>
                </c:pt>
                <c:pt idx="5">
                  <c:v>Others</c:v>
                </c:pt>
                <c:pt idx="6">
                  <c:v>Mixed</c:v>
                </c:pt>
              </c:strCache>
            </c:strRef>
          </c:cat>
          <c:val>
            <c:numRef>
              <c:f>GridE!$L$40:$R$40</c:f>
              <c:numCache>
                <c:formatCode>0</c:formatCode>
                <c:ptCount val="7"/>
                <c:pt idx="0">
                  <c:v>239.95797731680082</c:v>
                </c:pt>
                <c:pt idx="1">
                  <c:v>133.10265282583623</c:v>
                </c:pt>
                <c:pt idx="2">
                  <c:v>253.57397504456324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194.9948485307975</c:v>
                </c:pt>
              </c:numCache>
            </c:numRef>
          </c:val>
        </c:ser>
        <c:overlap val="100"/>
        <c:axId val="154617728"/>
        <c:axId val="154619264"/>
      </c:barChart>
      <c:catAx>
        <c:axId val="154617728"/>
        <c:scaling>
          <c:orientation val="minMax"/>
        </c:scaling>
        <c:axPos val="b"/>
        <c:numFmt formatCode="General" sourceLinked="1"/>
        <c:tickLblPos val="nextTo"/>
        <c:crossAx val="154619264"/>
        <c:crosses val="autoZero"/>
        <c:auto val="1"/>
        <c:lblAlgn val="ctr"/>
        <c:lblOffset val="100"/>
      </c:catAx>
      <c:valAx>
        <c:axId val="154619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  <a:endParaRPr lang="zh-CN" altLang="en-US"/>
              </a:p>
            </c:rich>
          </c:tx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</c:spPr>
        </c:title>
        <c:numFmt formatCode="0" sourceLinked="1"/>
        <c:tickLblPos val="nextTo"/>
        <c:crossAx val="154617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45864661654163"/>
          <c:y val="0.36226494329718339"/>
          <c:w val="0.19097744360902291"/>
          <c:h val="0.27169850938444257"/>
        </c:manualLayout>
      </c:layout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WTW GHG of Truck ( g CO2,e/MJ)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'LNG商用车结果 '!$B$2:$B$3</c:f>
              <c:strCache>
                <c:ptCount val="1"/>
                <c:pt idx="0">
                  <c:v>WTW GHG g CO2,e/MJ</c:v>
                </c:pt>
              </c:strCache>
            </c:strRef>
          </c:tx>
          <c:cat>
            <c:strRef>
              <c:f>'LNG商用车结果 '!$A$4:$A$7</c:f>
              <c:strCache>
                <c:ptCount val="4"/>
                <c:pt idx="0">
                  <c:v>LNG车(海外进口)</c:v>
                </c:pt>
                <c:pt idx="1">
                  <c:v>LNG车(井口液化)</c:v>
                </c:pt>
                <c:pt idx="2">
                  <c:v>LNG车(管道气液化)</c:v>
                </c:pt>
                <c:pt idx="3">
                  <c:v>柴油车</c:v>
                </c:pt>
              </c:strCache>
            </c:strRef>
          </c:cat>
          <c:val>
            <c:numRef>
              <c:f>'LNG商用车结果 '!$B$4:$B$7</c:f>
              <c:numCache>
                <c:formatCode>0.00</c:formatCode>
                <c:ptCount val="4"/>
                <c:pt idx="0">
                  <c:v>75.320969005514741</c:v>
                </c:pt>
                <c:pt idx="1">
                  <c:v>77.634378607224903</c:v>
                </c:pt>
                <c:pt idx="2">
                  <c:v>78.637319127677728</c:v>
                </c:pt>
                <c:pt idx="3">
                  <c:v>92.872365173245328</c:v>
                </c:pt>
              </c:numCache>
            </c:numRef>
          </c:val>
        </c:ser>
        <c:axId val="155113344"/>
        <c:axId val="155114880"/>
      </c:barChart>
      <c:catAx>
        <c:axId val="155113344"/>
        <c:scaling>
          <c:orientation val="minMax"/>
        </c:scaling>
        <c:axPos val="b"/>
        <c:tickLblPos val="nextTo"/>
        <c:crossAx val="155114880"/>
        <c:crosses val="autoZero"/>
        <c:auto val="1"/>
        <c:lblAlgn val="ctr"/>
        <c:lblOffset val="100"/>
      </c:catAx>
      <c:valAx>
        <c:axId val="155114880"/>
        <c:scaling>
          <c:orientation val="minMax"/>
          <c:min val="0"/>
        </c:scaling>
        <c:axPos val="l"/>
        <c:majorGridlines/>
        <c:numFmt formatCode="#,##0;[Red]\-#,##0" sourceLinked="0"/>
        <c:tickLblPos val="nextTo"/>
        <c:crossAx val="155113344"/>
        <c:crosses val="autoZero"/>
        <c:crossBetween val="between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进口</a:t>
            </a:r>
            <a:r>
              <a:rPr lang="en-US" altLang="zh-CN"/>
              <a:t>LNG</a:t>
            </a:r>
            <a:r>
              <a:rPr lang="zh-CN" altLang="en-US"/>
              <a:t>碳足迹分析</a:t>
            </a:r>
            <a:r>
              <a:rPr lang="en-US" altLang="zh-CN"/>
              <a:t>(gCO2,e/</a:t>
            </a:r>
            <a:r>
              <a:rPr lang="en-US" altLang="zh-CN" baseline="0"/>
              <a:t> MJ</a:t>
            </a:r>
            <a:r>
              <a:rPr lang="en-US" altLang="zh-CN"/>
              <a:t>)</a:t>
            </a:r>
            <a:endParaRPr lang="zh-CN" altLang="en-US"/>
          </a:p>
        </c:rich>
      </c:tx>
    </c:title>
    <c:plotArea>
      <c:layout>
        <c:manualLayout>
          <c:layoutTarget val="inner"/>
          <c:xMode val="edge"/>
          <c:yMode val="edge"/>
          <c:x val="5.492730210016155E-2"/>
          <c:y val="0.26530612244897961"/>
          <c:w val="0.91922455573505657"/>
          <c:h val="0.55102040816326525"/>
        </c:manualLayout>
      </c:layout>
      <c:barChart>
        <c:barDir val="col"/>
        <c:grouping val="stacked"/>
        <c:ser>
          <c:idx val="0"/>
          <c:order val="0"/>
          <c:dLbls>
            <c:showVal val="1"/>
          </c:dLbls>
          <c:cat>
            <c:strRef>
              <c:f>'fuel summary'!$E$35:$I$35</c:f>
              <c:strCache>
                <c:ptCount val="5"/>
                <c:pt idx="0">
                  <c:v>NG开采处理阶段</c:v>
                </c:pt>
                <c:pt idx="1">
                  <c:v>NG液化阶段</c:v>
                </c:pt>
                <c:pt idx="2">
                  <c:v>LNG运输阶段</c:v>
                </c:pt>
                <c:pt idx="3">
                  <c:v>LNG输配阶段</c:v>
                </c:pt>
                <c:pt idx="4">
                  <c:v>使用阶段</c:v>
                </c:pt>
              </c:strCache>
            </c:strRef>
          </c:cat>
          <c:val>
            <c:numRef>
              <c:f>'fuel summary'!$E$44:$I$44</c:f>
              <c:numCache>
                <c:formatCode>0.0</c:formatCode>
                <c:ptCount val="5"/>
                <c:pt idx="0">
                  <c:v>8.6172757468155936</c:v>
                </c:pt>
                <c:pt idx="1">
                  <c:v>7.1729530273479885</c:v>
                </c:pt>
                <c:pt idx="2">
                  <c:v>1.9261000635855134</c:v>
                </c:pt>
                <c:pt idx="3">
                  <c:v>0.4816401677656395</c:v>
                </c:pt>
                <c:pt idx="4">
                  <c:v>57.122999999999998</c:v>
                </c:pt>
              </c:numCache>
            </c:numRef>
          </c:val>
        </c:ser>
        <c:overlap val="100"/>
        <c:axId val="152091264"/>
        <c:axId val="152117632"/>
      </c:barChart>
      <c:catAx>
        <c:axId val="152091264"/>
        <c:scaling>
          <c:orientation val="minMax"/>
        </c:scaling>
        <c:axPos val="b"/>
        <c:numFmt formatCode="General" sourceLinked="1"/>
        <c:tickLblPos val="nextTo"/>
        <c:crossAx val="152117632"/>
        <c:crosses val="autoZero"/>
        <c:auto val="1"/>
        <c:lblAlgn val="ctr"/>
        <c:lblOffset val="100"/>
      </c:catAx>
      <c:valAx>
        <c:axId val="152117632"/>
        <c:scaling>
          <c:orientation val="minMax"/>
        </c:scaling>
        <c:axPos val="l"/>
        <c:majorGridlines/>
        <c:numFmt formatCode="#,##0;[Red]\-#,##0" sourceLinked="0"/>
        <c:tickLblPos val="nextTo"/>
        <c:crossAx val="152091264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600"/>
            </a:pPr>
            <a:r>
              <a:rPr lang="zh-CN" altLang="en-US" sz="1600"/>
              <a:t>船用</a:t>
            </a:r>
            <a:r>
              <a:rPr lang="en-US" altLang="zh-CN" sz="1600"/>
              <a:t>LNG</a:t>
            </a:r>
            <a:r>
              <a:rPr lang="zh-CN" altLang="en-US" sz="1600"/>
              <a:t>相对船用柴油相对减碳比例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LNG船用结果!$E$2:$E$3</c:f>
              <c:strCache>
                <c:ptCount val="1"/>
                <c:pt idx="0">
                  <c:v>减碳比例</c:v>
                </c:pt>
              </c:strCache>
            </c:strRef>
          </c:tx>
          <c:cat>
            <c:strRef>
              <c:f>LNG船用结果!$A$4:$A$6</c:f>
              <c:strCache>
                <c:ptCount val="3"/>
                <c:pt idx="0">
                  <c:v>LNG船（海外进口）</c:v>
                </c:pt>
                <c:pt idx="1">
                  <c:v>LNG船（进口液化）</c:v>
                </c:pt>
                <c:pt idx="2">
                  <c:v>LNG船（管道气液化）</c:v>
                </c:pt>
              </c:strCache>
            </c:strRef>
          </c:cat>
          <c:val>
            <c:numRef>
              <c:f>LNG船用结果!$E$4:$E$6</c:f>
              <c:numCache>
                <c:formatCode>0.0%</c:formatCode>
                <c:ptCount val="3"/>
                <c:pt idx="0">
                  <c:v>0.10788246049822214</c:v>
                </c:pt>
                <c:pt idx="1">
                  <c:v>8.0481946285687944E-2</c:v>
                </c:pt>
                <c:pt idx="2">
                  <c:v>6.8602905944246007E-2</c:v>
                </c:pt>
              </c:numCache>
            </c:numRef>
          </c:val>
        </c:ser>
        <c:axId val="156961792"/>
        <c:axId val="156971776"/>
      </c:barChart>
      <c:catAx>
        <c:axId val="156961792"/>
        <c:scaling>
          <c:orientation val="minMax"/>
        </c:scaling>
        <c:axPos val="b"/>
        <c:tickLblPos val="nextTo"/>
        <c:crossAx val="156971776"/>
        <c:crosses val="autoZero"/>
        <c:auto val="1"/>
        <c:lblAlgn val="ctr"/>
        <c:lblOffset val="100"/>
      </c:catAx>
      <c:valAx>
        <c:axId val="156971776"/>
        <c:scaling>
          <c:orientation val="minMax"/>
        </c:scaling>
        <c:axPos val="l"/>
        <c:majorGridlines/>
        <c:numFmt formatCode="0.0%" sourceLinked="1"/>
        <c:tickLblPos val="nextTo"/>
        <c:crossAx val="156961792"/>
        <c:crosses val="autoZero"/>
        <c:crossBetween val="between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'WTP&amp;WTW'!$AF$1:$AF$2</c:f>
              <c:strCache>
                <c:ptCount val="1"/>
                <c:pt idx="0">
                  <c:v>WTW fossil energy use (MJ/km)</c:v>
                </c:pt>
              </c:strCache>
            </c:strRef>
          </c:tx>
          <c:cat>
            <c:strRef>
              <c:f>'WTP&amp;WTW'!$A$3:$A$71</c:f>
              <c:strCache>
                <c:ptCount val="69"/>
                <c:pt idx="0">
                  <c:v>SI ICE-Gasoline (8L/100km)</c:v>
                </c:pt>
                <c:pt idx="1">
                  <c:v>SI ICE-Gasoline (7.7L/100km)</c:v>
                </c:pt>
                <c:pt idx="2">
                  <c:v>SI ICE-Gasoline (8.2L/100km)</c:v>
                </c:pt>
                <c:pt idx="3">
                  <c:v>SI ICE-Gasoline (5.7L/100km)</c:v>
                </c:pt>
                <c:pt idx="4">
                  <c:v>SI ICE-Gasoline (5.9L/100km)</c:v>
                </c:pt>
                <c:pt idx="5">
                  <c:v>SI ICE-Gasoline (4.5L/100km)</c:v>
                </c:pt>
                <c:pt idx="6">
                  <c:v>CI ICE-Diesel</c:v>
                </c:pt>
                <c:pt idx="7">
                  <c:v>SI ICE-LPG</c:v>
                </c:pt>
                <c:pt idx="9">
                  <c:v>SI ICE-CNG</c:v>
                </c:pt>
                <c:pt idx="10">
                  <c:v>SI ICE-LNG1</c:v>
                </c:pt>
                <c:pt idx="11">
                  <c:v>SI ICE-LNG2</c:v>
                </c:pt>
                <c:pt idx="12">
                  <c:v>SI ICE-LNG3</c:v>
                </c:pt>
                <c:pt idx="13">
                  <c:v>CI ICE-GTL</c:v>
                </c:pt>
                <c:pt idx="15">
                  <c:v>SI ICE-Methanol from coal</c:v>
                </c:pt>
                <c:pt idx="16">
                  <c:v>SI ICE-DME from coal</c:v>
                </c:pt>
                <c:pt idx="17">
                  <c:v>CI ICE-CTL</c:v>
                </c:pt>
                <c:pt idx="18">
                  <c:v>CI ICE-ICTL</c:v>
                </c:pt>
                <c:pt idx="20">
                  <c:v>SI ICE-Methanol from coal (CCS)</c:v>
                </c:pt>
                <c:pt idx="21">
                  <c:v>SI ICE-DME from coal (CCS)</c:v>
                </c:pt>
                <c:pt idx="22">
                  <c:v>CI ICE-CTL(CCS)</c:v>
                </c:pt>
                <c:pt idx="23">
                  <c:v>CI ICE-ICTL(CCS)</c:v>
                </c:pt>
                <c:pt idx="26">
                  <c:v>SI ICE-Corn ethanol</c:v>
                </c:pt>
                <c:pt idx="27">
                  <c:v>SI ICE-Cassava ethanol</c:v>
                </c:pt>
                <c:pt idx="28">
                  <c:v>SI ICE-Sweet sorghum ethanol</c:v>
                </c:pt>
                <c:pt idx="29">
                  <c:v>SI ICE-Woody ethanol</c:v>
                </c:pt>
                <c:pt idx="30">
                  <c:v>SI ICE-Herbaceous ethanol</c:v>
                </c:pt>
                <c:pt idx="32">
                  <c:v>CI ICE-Waste oil biodiesel</c:v>
                </c:pt>
                <c:pt idx="33">
                  <c:v>CI ICE-Jatropha biodiesel</c:v>
                </c:pt>
                <c:pt idx="34">
                  <c:v>CI ICE-BTL (F-T) biodiesel</c:v>
                </c:pt>
                <c:pt idx="36">
                  <c:v>BEV-Grid power (20.3KWh/100km)</c:v>
                </c:pt>
                <c:pt idx="37">
                  <c:v>BEV-Grid power (14 KWh/100km)</c:v>
                </c:pt>
                <c:pt idx="38">
                  <c:v>BEV-Grid power (16 KWh/100km)</c:v>
                </c:pt>
                <c:pt idx="39">
                  <c:v>BEV-Grid power (22.5 KWh/100km)</c:v>
                </c:pt>
                <c:pt idx="41">
                  <c:v>BEV-Coal power</c:v>
                </c:pt>
                <c:pt idx="42">
                  <c:v>BEV-Oil power</c:v>
                </c:pt>
                <c:pt idx="43">
                  <c:v>BEV-Gas power</c:v>
                </c:pt>
                <c:pt idx="44">
                  <c:v>BEV-Nuclear power</c:v>
                </c:pt>
                <c:pt idx="45">
                  <c:v>BEV-Large Hydro power</c:v>
                </c:pt>
                <c:pt idx="46">
                  <c:v>BEV-Biopower</c:v>
                </c:pt>
                <c:pt idx="48">
                  <c:v>BEV-Coal power(IGCC+CCS)</c:v>
                </c:pt>
                <c:pt idx="50">
                  <c:v>BEV-Grid power (Northeast)</c:v>
                </c:pt>
                <c:pt idx="51">
                  <c:v>BEV-Grid power (North)</c:v>
                </c:pt>
                <c:pt idx="52">
                  <c:v>BEV-Grid power (Northwest)</c:v>
                </c:pt>
                <c:pt idx="53">
                  <c:v>BEV-Grid power (Central)</c:v>
                </c:pt>
                <c:pt idx="54">
                  <c:v>BEV-Grid power (East)</c:v>
                </c:pt>
                <c:pt idx="55">
                  <c:v>BEV-Grid power (South)</c:v>
                </c:pt>
                <c:pt idx="57">
                  <c:v>FCV-Hydrogen from natural gas</c:v>
                </c:pt>
                <c:pt idx="58">
                  <c:v>FCV-Hydrogen from coal</c:v>
                </c:pt>
                <c:pt idx="59">
                  <c:v>FCV-Hydrogen from water electrolysis</c:v>
                </c:pt>
                <c:pt idx="60">
                  <c:v>FCV-Hydrogen from biomass</c:v>
                </c:pt>
                <c:pt idx="61">
                  <c:v>FCV-Hydrogen from nuclear</c:v>
                </c:pt>
                <c:pt idx="62">
                  <c:v>FCV-Hydrogen from coal (CCS)</c:v>
                </c:pt>
                <c:pt idx="64">
                  <c:v>FCV-Hydrogen from natural gas</c:v>
                </c:pt>
                <c:pt idx="65">
                  <c:v>FCV-Hydrogen from coal</c:v>
                </c:pt>
                <c:pt idx="66">
                  <c:v>FCV-Hydrogen from water electrolysis</c:v>
                </c:pt>
                <c:pt idx="67">
                  <c:v>FCV-Hydrogen from biomass</c:v>
                </c:pt>
                <c:pt idx="68">
                  <c:v>FCV-Hydrogen from nuclear</c:v>
                </c:pt>
              </c:strCache>
            </c:strRef>
          </c:cat>
          <c:val>
            <c:numRef>
              <c:f>'WTP&amp;WTW'!$AF$3:$AF$71</c:f>
              <c:numCache>
                <c:formatCode>0.00_);[Red]\(0.00\)</c:formatCode>
                <c:ptCount val="69"/>
                <c:pt idx="0">
                  <c:v>3.2156682733811834</c:v>
                </c:pt>
                <c:pt idx="1">
                  <c:v>3.0950807131293891</c:v>
                </c:pt>
                <c:pt idx="2">
                  <c:v>3.2960599802157127</c:v>
                </c:pt>
                <c:pt idx="3">
                  <c:v>2.2911636447840933</c:v>
                </c:pt>
                <c:pt idx="4">
                  <c:v>2.3715553516186225</c:v>
                </c:pt>
                <c:pt idx="5">
                  <c:v>1.8088134037769157</c:v>
                </c:pt>
                <c:pt idx="6">
                  <c:v>2.9027633718048311</c:v>
                </c:pt>
                <c:pt idx="7">
                  <c:v>3.1912734652460677</c:v>
                </c:pt>
                <c:pt idx="9">
                  <c:v>3.1692047482289221</c:v>
                </c:pt>
                <c:pt idx="10">
                  <c:v>318.09168395857159</c:v>
                </c:pt>
                <c:pt idx="11">
                  <c:v>314.79184999428543</c:v>
                </c:pt>
                <c:pt idx="12">
                  <c:v>318.61157694856479</c:v>
                </c:pt>
                <c:pt idx="13">
                  <c:v>4.8861088829297961</c:v>
                </c:pt>
                <c:pt idx="15">
                  <c:v>5.2369749529880938</c:v>
                </c:pt>
                <c:pt idx="16">
                  <c:v>5.3881571902773313</c:v>
                </c:pt>
                <c:pt idx="17">
                  <c:v>6.1547967354492181</c:v>
                </c:pt>
                <c:pt idx="18">
                  <c:v>6.1718098415346114</c:v>
                </c:pt>
                <c:pt idx="20">
                  <c:v>6.6611947702313152</c:v>
                </c:pt>
                <c:pt idx="21">
                  <c:v>6.535064935064935</c:v>
                </c:pt>
                <c:pt idx="22">
                  <c:v>7.5842032146818168</c:v>
                </c:pt>
                <c:pt idx="23">
                  <c:v>6.8810852204354003</c:v>
                </c:pt>
                <c:pt idx="26">
                  <c:v>3.6028522662793607</c:v>
                </c:pt>
                <c:pt idx="27">
                  <c:v>2.0493189258262987</c:v>
                </c:pt>
                <c:pt idx="28">
                  <c:v>1.7000554650387762</c:v>
                </c:pt>
                <c:pt idx="29">
                  <c:v>0.93428531949103355</c:v>
                </c:pt>
                <c:pt idx="30">
                  <c:v>0.5173083858561639</c:v>
                </c:pt>
                <c:pt idx="32">
                  <c:v>2.2208655948181812</c:v>
                </c:pt>
                <c:pt idx="33">
                  <c:v>0.49322283877804179</c:v>
                </c:pt>
                <c:pt idx="34">
                  <c:v>0.13266181818181819</c:v>
                </c:pt>
                <c:pt idx="36">
                  <c:v>1.8318354637463474</c:v>
                </c:pt>
                <c:pt idx="37">
                  <c:v>1.2633348025836879</c:v>
                </c:pt>
                <c:pt idx="38">
                  <c:v>1.4438112029527861</c:v>
                </c:pt>
                <c:pt idx="39">
                  <c:v>2.0303595041523552</c:v>
                </c:pt>
                <c:pt idx="41">
                  <c:v>2.2901099542227317</c:v>
                </c:pt>
                <c:pt idx="42">
                  <c:v>2.9467721559962441</c:v>
                </c:pt>
                <c:pt idx="43">
                  <c:v>1.8885006165580507</c:v>
                </c:pt>
                <c:pt idx="44">
                  <c:v>4.5288000000000002E-2</c:v>
                </c:pt>
                <c:pt idx="45">
                  <c:v>0</c:v>
                </c:pt>
                <c:pt idx="46">
                  <c:v>5.4633142857142859E-2</c:v>
                </c:pt>
                <c:pt idx="48">
                  <c:v>2.5645028374065189</c:v>
                </c:pt>
                <c:pt idx="50">
                  <c:v>2.1756044565115946</c:v>
                </c:pt>
                <c:pt idx="51">
                  <c:v>2.2443077551382768</c:v>
                </c:pt>
                <c:pt idx="52">
                  <c:v>1.7633846647515032</c:v>
                </c:pt>
                <c:pt idx="53">
                  <c:v>1.6946813661248215</c:v>
                </c:pt>
                <c:pt idx="54">
                  <c:v>2.0175611597160037</c:v>
                </c:pt>
                <c:pt idx="55">
                  <c:v>1.4908358702447757</c:v>
                </c:pt>
                <c:pt idx="57">
                  <c:v>2.05444419968841</c:v>
                </c:pt>
                <c:pt idx="58">
                  <c:v>2.7551139922752483</c:v>
                </c:pt>
                <c:pt idx="59">
                  <c:v>4.2625500935992502</c:v>
                </c:pt>
                <c:pt idx="60">
                  <c:v>0.32478515205792674</c:v>
                </c:pt>
                <c:pt idx="61">
                  <c:v>0.30952119741560624</c:v>
                </c:pt>
                <c:pt idx="62">
                  <c:v>2.9217957622257877</c:v>
                </c:pt>
                <c:pt idx="64">
                  <c:v>3.358064579869469</c:v>
                </c:pt>
                <c:pt idx="65">
                  <c:v>4.0587343724563025</c:v>
                </c:pt>
                <c:pt idx="66">
                  <c:v>5.5661704737803044</c:v>
                </c:pt>
                <c:pt idx="67">
                  <c:v>1.6284055322389808</c:v>
                </c:pt>
                <c:pt idx="68">
                  <c:v>1.6131415775966602</c:v>
                </c:pt>
              </c:numCache>
            </c:numRef>
          </c:val>
        </c:ser>
        <c:axId val="157557504"/>
        <c:axId val="157559040"/>
      </c:barChart>
      <c:catAx>
        <c:axId val="157557504"/>
        <c:scaling>
          <c:orientation val="minMax"/>
        </c:scaling>
        <c:axPos val="b"/>
        <c:tickLblPos val="nextTo"/>
        <c:crossAx val="157559040"/>
        <c:crosses val="autoZero"/>
        <c:auto val="1"/>
        <c:lblAlgn val="ctr"/>
        <c:lblOffset val="100"/>
      </c:catAx>
      <c:valAx>
        <c:axId val="157559040"/>
        <c:scaling>
          <c:orientation val="minMax"/>
        </c:scaling>
        <c:axPos val="l"/>
        <c:majorGridlines/>
        <c:numFmt formatCode="0.00_);[Red]\(0.00\)" sourceLinked="1"/>
        <c:tickLblPos val="nextTo"/>
        <c:crossAx val="157557504"/>
        <c:crosses val="autoZero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'WTP&amp;WTW'!$AI$1:$AI$2</c:f>
              <c:strCache>
                <c:ptCount val="1"/>
                <c:pt idx="0">
                  <c:v>WTW GHG emission (g CO2e/km)</c:v>
                </c:pt>
              </c:strCache>
            </c:strRef>
          </c:tx>
          <c:cat>
            <c:strRef>
              <c:f>'WTP&amp;WTW'!$A$3:$A$71</c:f>
              <c:strCache>
                <c:ptCount val="69"/>
                <c:pt idx="0">
                  <c:v>SI ICE-Gasoline (8L/100km)</c:v>
                </c:pt>
                <c:pt idx="1">
                  <c:v>SI ICE-Gasoline (7.7L/100km)</c:v>
                </c:pt>
                <c:pt idx="2">
                  <c:v>SI ICE-Gasoline (8.2L/100km)</c:v>
                </c:pt>
                <c:pt idx="3">
                  <c:v>SI ICE-Gasoline (5.7L/100km)</c:v>
                </c:pt>
                <c:pt idx="4">
                  <c:v>SI ICE-Gasoline (5.9L/100km)</c:v>
                </c:pt>
                <c:pt idx="5">
                  <c:v>SI ICE-Gasoline (4.5L/100km)</c:v>
                </c:pt>
                <c:pt idx="6">
                  <c:v>CI ICE-Diesel</c:v>
                </c:pt>
                <c:pt idx="7">
                  <c:v>SI ICE-LPG</c:v>
                </c:pt>
                <c:pt idx="9">
                  <c:v>SI ICE-CNG</c:v>
                </c:pt>
                <c:pt idx="10">
                  <c:v>SI ICE-LNG1</c:v>
                </c:pt>
                <c:pt idx="11">
                  <c:v>SI ICE-LNG2</c:v>
                </c:pt>
                <c:pt idx="12">
                  <c:v>SI ICE-LNG3</c:v>
                </c:pt>
                <c:pt idx="13">
                  <c:v>CI ICE-GTL</c:v>
                </c:pt>
                <c:pt idx="15">
                  <c:v>SI ICE-Methanol from coal</c:v>
                </c:pt>
                <c:pt idx="16">
                  <c:v>SI ICE-DME from coal</c:v>
                </c:pt>
                <c:pt idx="17">
                  <c:v>CI ICE-CTL</c:v>
                </c:pt>
                <c:pt idx="18">
                  <c:v>CI ICE-ICTL</c:v>
                </c:pt>
                <c:pt idx="20">
                  <c:v>SI ICE-Methanol from coal (CCS)</c:v>
                </c:pt>
                <c:pt idx="21">
                  <c:v>SI ICE-DME from coal (CCS)</c:v>
                </c:pt>
                <c:pt idx="22">
                  <c:v>CI ICE-CTL(CCS)</c:v>
                </c:pt>
                <c:pt idx="23">
                  <c:v>CI ICE-ICTL(CCS)</c:v>
                </c:pt>
                <c:pt idx="26">
                  <c:v>SI ICE-Corn ethanol</c:v>
                </c:pt>
                <c:pt idx="27">
                  <c:v>SI ICE-Cassava ethanol</c:v>
                </c:pt>
                <c:pt idx="28">
                  <c:v>SI ICE-Sweet sorghum ethanol</c:v>
                </c:pt>
                <c:pt idx="29">
                  <c:v>SI ICE-Woody ethanol</c:v>
                </c:pt>
                <c:pt idx="30">
                  <c:v>SI ICE-Herbaceous ethanol</c:v>
                </c:pt>
                <c:pt idx="32">
                  <c:v>CI ICE-Waste oil biodiesel</c:v>
                </c:pt>
                <c:pt idx="33">
                  <c:v>CI ICE-Jatropha biodiesel</c:v>
                </c:pt>
                <c:pt idx="34">
                  <c:v>CI ICE-BTL (F-T) biodiesel</c:v>
                </c:pt>
                <c:pt idx="36">
                  <c:v>BEV-Grid power (20.3KWh/100km)</c:v>
                </c:pt>
                <c:pt idx="37">
                  <c:v>BEV-Grid power (14 KWh/100km)</c:v>
                </c:pt>
                <c:pt idx="38">
                  <c:v>BEV-Grid power (16 KWh/100km)</c:v>
                </c:pt>
                <c:pt idx="39">
                  <c:v>BEV-Grid power (22.5 KWh/100km)</c:v>
                </c:pt>
                <c:pt idx="41">
                  <c:v>BEV-Coal power</c:v>
                </c:pt>
                <c:pt idx="42">
                  <c:v>BEV-Oil power</c:v>
                </c:pt>
                <c:pt idx="43">
                  <c:v>BEV-Gas power</c:v>
                </c:pt>
                <c:pt idx="44">
                  <c:v>BEV-Nuclear power</c:v>
                </c:pt>
                <c:pt idx="45">
                  <c:v>BEV-Large Hydro power</c:v>
                </c:pt>
                <c:pt idx="46">
                  <c:v>BEV-Biopower</c:v>
                </c:pt>
                <c:pt idx="48">
                  <c:v>BEV-Coal power(IGCC+CCS)</c:v>
                </c:pt>
                <c:pt idx="50">
                  <c:v>BEV-Grid power (Northeast)</c:v>
                </c:pt>
                <c:pt idx="51">
                  <c:v>BEV-Grid power (North)</c:v>
                </c:pt>
                <c:pt idx="52">
                  <c:v>BEV-Grid power (Northwest)</c:v>
                </c:pt>
                <c:pt idx="53">
                  <c:v>BEV-Grid power (Central)</c:v>
                </c:pt>
                <c:pt idx="54">
                  <c:v>BEV-Grid power (East)</c:v>
                </c:pt>
                <c:pt idx="55">
                  <c:v>BEV-Grid power (South)</c:v>
                </c:pt>
                <c:pt idx="57">
                  <c:v>FCV-Hydrogen from natural gas</c:v>
                </c:pt>
                <c:pt idx="58">
                  <c:v>FCV-Hydrogen from coal</c:v>
                </c:pt>
                <c:pt idx="59">
                  <c:v>FCV-Hydrogen from water electrolysis</c:v>
                </c:pt>
                <c:pt idx="60">
                  <c:v>FCV-Hydrogen from biomass</c:v>
                </c:pt>
                <c:pt idx="61">
                  <c:v>FCV-Hydrogen from nuclear</c:v>
                </c:pt>
                <c:pt idx="62">
                  <c:v>FCV-Hydrogen from coal (CCS)</c:v>
                </c:pt>
                <c:pt idx="64">
                  <c:v>FCV-Hydrogen from natural gas</c:v>
                </c:pt>
                <c:pt idx="65">
                  <c:v>FCV-Hydrogen from coal</c:v>
                </c:pt>
                <c:pt idx="66">
                  <c:v>FCV-Hydrogen from water electrolysis</c:v>
                </c:pt>
                <c:pt idx="67">
                  <c:v>FCV-Hydrogen from biomass</c:v>
                </c:pt>
                <c:pt idx="68">
                  <c:v>FCV-Hydrogen from nuclear</c:v>
                </c:pt>
              </c:strCache>
            </c:strRef>
          </c:cat>
          <c:val>
            <c:numRef>
              <c:f>'WTP&amp;WTW'!$AI$3:$AI$71</c:f>
              <c:numCache>
                <c:formatCode>0.00_ </c:formatCode>
                <c:ptCount val="69"/>
                <c:pt idx="0">
                  <c:v>228.3475890415595</c:v>
                </c:pt>
                <c:pt idx="1">
                  <c:v>219.78455445250103</c:v>
                </c:pt>
                <c:pt idx="2">
                  <c:v>234.05627876759849</c:v>
                </c:pt>
                <c:pt idx="3">
                  <c:v>162.69765719211114</c:v>
                </c:pt>
                <c:pt idx="4">
                  <c:v>168.40634691815012</c:v>
                </c:pt>
                <c:pt idx="5">
                  <c:v>128.44551883587724</c:v>
                </c:pt>
                <c:pt idx="6">
                  <c:v>212.42442797807749</c:v>
                </c:pt>
                <c:pt idx="7">
                  <c:v>227.69800000000001</c:v>
                </c:pt>
                <c:pt idx="9">
                  <c:v>193.68334891134745</c:v>
                </c:pt>
                <c:pt idx="10">
                  <c:v>19009.782899959311</c:v>
                </c:pt>
                <c:pt idx="11">
                  <c:v>19593.649715108382</c:v>
                </c:pt>
                <c:pt idx="12">
                  <c:v>19846.775528638267</c:v>
                </c:pt>
                <c:pt idx="13">
                  <c:v>328.3715364609817</c:v>
                </c:pt>
                <c:pt idx="15">
                  <c:v>610.42389531027345</c:v>
                </c:pt>
                <c:pt idx="16">
                  <c:v>627.62763636363627</c:v>
                </c:pt>
                <c:pt idx="17">
                  <c:v>463.08120817175916</c:v>
                </c:pt>
                <c:pt idx="18">
                  <c:v>663.53781818181824</c:v>
                </c:pt>
                <c:pt idx="20">
                  <c:v>403.50054096780781</c:v>
                </c:pt>
                <c:pt idx="21">
                  <c:v>445.56072727272726</c:v>
                </c:pt>
                <c:pt idx="22">
                  <c:v>342.65654524270894</c:v>
                </c:pt>
                <c:pt idx="23">
                  <c:v>574.79163636363637</c:v>
                </c:pt>
                <c:pt idx="26">
                  <c:v>493.25966102567833</c:v>
                </c:pt>
                <c:pt idx="27">
                  <c:v>224.78508530659494</c:v>
                </c:pt>
                <c:pt idx="28">
                  <c:v>160.26954337595097</c:v>
                </c:pt>
                <c:pt idx="29">
                  <c:v>79.7318078857746</c:v>
                </c:pt>
                <c:pt idx="30">
                  <c:v>9.5174561427939821</c:v>
                </c:pt>
                <c:pt idx="32">
                  <c:v>394.48180208639752</c:v>
                </c:pt>
                <c:pt idx="33">
                  <c:v>40.495416118041561</c:v>
                </c:pt>
                <c:pt idx="34">
                  <c:v>16.559854545454531</c:v>
                </c:pt>
                <c:pt idx="36">
                  <c:v>162.05898095743058</c:v>
                </c:pt>
                <c:pt idx="37">
                  <c:v>111.76481445340038</c:v>
                </c:pt>
                <c:pt idx="38">
                  <c:v>127.73121651817188</c:v>
                </c:pt>
                <c:pt idx="39">
                  <c:v>179.62202322867918</c:v>
                </c:pt>
                <c:pt idx="41">
                  <c:v>208.15086900056673</c:v>
                </c:pt>
                <c:pt idx="42">
                  <c:v>223.31665737085774</c:v>
                </c:pt>
                <c:pt idx="43">
                  <c:v>112.46805213474198</c:v>
                </c:pt>
                <c:pt idx="44">
                  <c:v>4.6725714285714286</c:v>
                </c:pt>
                <c:pt idx="45">
                  <c:v>3.5942857142857143</c:v>
                </c:pt>
                <c:pt idx="46">
                  <c:v>4.1693714285714281</c:v>
                </c:pt>
                <c:pt idx="48">
                  <c:v>67.649635642902126</c:v>
                </c:pt>
                <c:pt idx="50">
                  <c:v>197.8870969791098</c:v>
                </c:pt>
                <c:pt idx="51">
                  <c:v>204.02379447769823</c:v>
                </c:pt>
                <c:pt idx="52">
                  <c:v>161.06691198757923</c:v>
                </c:pt>
                <c:pt idx="53">
                  <c:v>154.96615734613366</c:v>
                </c:pt>
                <c:pt idx="54">
                  <c:v>183.65799329192726</c:v>
                </c:pt>
                <c:pt idx="55">
                  <c:v>136.60997913608264</c:v>
                </c:pt>
                <c:pt idx="57">
                  <c:v>139.11407404419882</c:v>
                </c:pt>
                <c:pt idx="58">
                  <c:v>249.0260850744385</c:v>
                </c:pt>
                <c:pt idx="59">
                  <c:v>434.12971702514426</c:v>
                </c:pt>
                <c:pt idx="60">
                  <c:v>31.604884061621615</c:v>
                </c:pt>
                <c:pt idx="61">
                  <c:v>27.101173250639565</c:v>
                </c:pt>
                <c:pt idx="62">
                  <c:v>94.248399772409613</c:v>
                </c:pt>
                <c:pt idx="64">
                  <c:v>271.68499379343609</c:v>
                </c:pt>
                <c:pt idx="65">
                  <c:v>381.59700482367577</c:v>
                </c:pt>
                <c:pt idx="66">
                  <c:v>566.70063677438145</c:v>
                </c:pt>
                <c:pt idx="67">
                  <c:v>164.17580381085892</c:v>
                </c:pt>
                <c:pt idx="68">
                  <c:v>159.67209299987687</c:v>
                </c:pt>
              </c:numCache>
            </c:numRef>
          </c:val>
        </c:ser>
        <c:axId val="157590656"/>
        <c:axId val="157592192"/>
      </c:barChart>
      <c:catAx>
        <c:axId val="157590656"/>
        <c:scaling>
          <c:orientation val="minMax"/>
        </c:scaling>
        <c:axPos val="b"/>
        <c:tickLblPos val="nextTo"/>
        <c:crossAx val="157592192"/>
        <c:crosses val="autoZero"/>
        <c:auto val="1"/>
        <c:lblAlgn val="ctr"/>
        <c:lblOffset val="100"/>
      </c:catAx>
      <c:valAx>
        <c:axId val="157592192"/>
        <c:scaling>
          <c:orientation val="minMax"/>
        </c:scaling>
        <c:axPos val="l"/>
        <c:majorGridlines/>
        <c:numFmt formatCode="0.00_ " sourceLinked="1"/>
        <c:tickLblPos val="nextTo"/>
        <c:crossAx val="157590656"/>
        <c:crosses val="autoZero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'WTP&amp;WTW'!$AF$1:$AF$2</c:f>
              <c:strCache>
                <c:ptCount val="1"/>
                <c:pt idx="0">
                  <c:v>WTW fossil energy use (MJ/km)</c:v>
                </c:pt>
              </c:strCache>
            </c:strRef>
          </c:tx>
          <c:cat>
            <c:strRef>
              <c:f>'WTP&amp;WTW'!$A$3:$A$71</c:f>
              <c:strCache>
                <c:ptCount val="69"/>
                <c:pt idx="0">
                  <c:v>SI ICE-Gasoline (8L/100km)</c:v>
                </c:pt>
                <c:pt idx="1">
                  <c:v>SI ICE-Gasoline (7.7L/100km)</c:v>
                </c:pt>
                <c:pt idx="2">
                  <c:v>SI ICE-Gasoline (8.2L/100km)</c:v>
                </c:pt>
                <c:pt idx="3">
                  <c:v>SI ICE-Gasoline (5.7L/100km)</c:v>
                </c:pt>
                <c:pt idx="4">
                  <c:v>SI ICE-Gasoline (5.9L/100km)</c:v>
                </c:pt>
                <c:pt idx="5">
                  <c:v>SI ICE-Gasoline (4.5L/100km)</c:v>
                </c:pt>
                <c:pt idx="6">
                  <c:v>CI ICE-Diesel</c:v>
                </c:pt>
                <c:pt idx="7">
                  <c:v>SI ICE-LPG</c:v>
                </c:pt>
                <c:pt idx="9">
                  <c:v>SI ICE-CNG</c:v>
                </c:pt>
                <c:pt idx="10">
                  <c:v>SI ICE-LNG1</c:v>
                </c:pt>
                <c:pt idx="11">
                  <c:v>SI ICE-LNG2</c:v>
                </c:pt>
                <c:pt idx="12">
                  <c:v>SI ICE-LNG3</c:v>
                </c:pt>
                <c:pt idx="13">
                  <c:v>CI ICE-GTL</c:v>
                </c:pt>
                <c:pt idx="15">
                  <c:v>SI ICE-Methanol from coal</c:v>
                </c:pt>
                <c:pt idx="16">
                  <c:v>SI ICE-DME from coal</c:v>
                </c:pt>
                <c:pt idx="17">
                  <c:v>CI ICE-CTL</c:v>
                </c:pt>
                <c:pt idx="18">
                  <c:v>CI ICE-ICTL</c:v>
                </c:pt>
                <c:pt idx="20">
                  <c:v>SI ICE-Methanol from coal (CCS)</c:v>
                </c:pt>
                <c:pt idx="21">
                  <c:v>SI ICE-DME from coal (CCS)</c:v>
                </c:pt>
                <c:pt idx="22">
                  <c:v>CI ICE-CTL(CCS)</c:v>
                </c:pt>
                <c:pt idx="23">
                  <c:v>CI ICE-ICTL(CCS)</c:v>
                </c:pt>
                <c:pt idx="26">
                  <c:v>SI ICE-Corn ethanol</c:v>
                </c:pt>
                <c:pt idx="27">
                  <c:v>SI ICE-Cassava ethanol</c:v>
                </c:pt>
                <c:pt idx="28">
                  <c:v>SI ICE-Sweet sorghum ethanol</c:v>
                </c:pt>
                <c:pt idx="29">
                  <c:v>SI ICE-Woody ethanol</c:v>
                </c:pt>
                <c:pt idx="30">
                  <c:v>SI ICE-Herbaceous ethanol</c:v>
                </c:pt>
                <c:pt idx="32">
                  <c:v>CI ICE-Waste oil biodiesel</c:v>
                </c:pt>
                <c:pt idx="33">
                  <c:v>CI ICE-Jatropha biodiesel</c:v>
                </c:pt>
                <c:pt idx="34">
                  <c:v>CI ICE-BTL (F-T) biodiesel</c:v>
                </c:pt>
                <c:pt idx="36">
                  <c:v>BEV-Grid power (20.3KWh/100km)</c:v>
                </c:pt>
                <c:pt idx="37">
                  <c:v>BEV-Grid power (14 KWh/100km)</c:v>
                </c:pt>
                <c:pt idx="38">
                  <c:v>BEV-Grid power (16 KWh/100km)</c:v>
                </c:pt>
                <c:pt idx="39">
                  <c:v>BEV-Grid power (22.5 KWh/100km)</c:v>
                </c:pt>
                <c:pt idx="41">
                  <c:v>BEV-Coal power</c:v>
                </c:pt>
                <c:pt idx="42">
                  <c:v>BEV-Oil power</c:v>
                </c:pt>
                <c:pt idx="43">
                  <c:v>BEV-Gas power</c:v>
                </c:pt>
                <c:pt idx="44">
                  <c:v>BEV-Nuclear power</c:v>
                </c:pt>
                <c:pt idx="45">
                  <c:v>BEV-Large Hydro power</c:v>
                </c:pt>
                <c:pt idx="46">
                  <c:v>BEV-Biopower</c:v>
                </c:pt>
                <c:pt idx="48">
                  <c:v>BEV-Coal power(IGCC+CCS)</c:v>
                </c:pt>
                <c:pt idx="50">
                  <c:v>BEV-Grid power (Northeast)</c:v>
                </c:pt>
                <c:pt idx="51">
                  <c:v>BEV-Grid power (North)</c:v>
                </c:pt>
                <c:pt idx="52">
                  <c:v>BEV-Grid power (Northwest)</c:v>
                </c:pt>
                <c:pt idx="53">
                  <c:v>BEV-Grid power (Central)</c:v>
                </c:pt>
                <c:pt idx="54">
                  <c:v>BEV-Grid power (East)</c:v>
                </c:pt>
                <c:pt idx="55">
                  <c:v>BEV-Grid power (South)</c:v>
                </c:pt>
                <c:pt idx="57">
                  <c:v>FCV-Hydrogen from natural gas</c:v>
                </c:pt>
                <c:pt idx="58">
                  <c:v>FCV-Hydrogen from coal</c:v>
                </c:pt>
                <c:pt idx="59">
                  <c:v>FCV-Hydrogen from water electrolysis</c:v>
                </c:pt>
                <c:pt idx="60">
                  <c:v>FCV-Hydrogen from biomass</c:v>
                </c:pt>
                <c:pt idx="61">
                  <c:v>FCV-Hydrogen from nuclear</c:v>
                </c:pt>
                <c:pt idx="62">
                  <c:v>FCV-Hydrogen from coal (CCS)</c:v>
                </c:pt>
                <c:pt idx="64">
                  <c:v>FCV-Hydrogen from natural gas</c:v>
                </c:pt>
                <c:pt idx="65">
                  <c:v>FCV-Hydrogen from coal</c:v>
                </c:pt>
                <c:pt idx="66">
                  <c:v>FCV-Hydrogen from water electrolysis</c:v>
                </c:pt>
                <c:pt idx="67">
                  <c:v>FCV-Hydrogen from biomass</c:v>
                </c:pt>
                <c:pt idx="68">
                  <c:v>FCV-Hydrogen from nuclear</c:v>
                </c:pt>
              </c:strCache>
            </c:strRef>
          </c:cat>
          <c:val>
            <c:numRef>
              <c:f>'WTP&amp;WTW'!$AF$3:$AF$71</c:f>
              <c:numCache>
                <c:formatCode>0.00_);[Red]\(0.00\)</c:formatCode>
                <c:ptCount val="69"/>
                <c:pt idx="0">
                  <c:v>3.2156682733811834</c:v>
                </c:pt>
                <c:pt idx="1">
                  <c:v>3.0950807131293891</c:v>
                </c:pt>
                <c:pt idx="2">
                  <c:v>3.2960599802157127</c:v>
                </c:pt>
                <c:pt idx="3">
                  <c:v>2.2911636447840933</c:v>
                </c:pt>
                <c:pt idx="4">
                  <c:v>2.3715553516186225</c:v>
                </c:pt>
                <c:pt idx="5">
                  <c:v>1.8088134037769157</c:v>
                </c:pt>
                <c:pt idx="6">
                  <c:v>2.9027633718048311</c:v>
                </c:pt>
                <c:pt idx="7">
                  <c:v>3.1912734652460677</c:v>
                </c:pt>
                <c:pt idx="9">
                  <c:v>3.1692047482289221</c:v>
                </c:pt>
                <c:pt idx="10">
                  <c:v>318.09168395857159</c:v>
                </c:pt>
                <c:pt idx="11">
                  <c:v>314.79184999428543</c:v>
                </c:pt>
                <c:pt idx="12">
                  <c:v>318.61157694856479</c:v>
                </c:pt>
                <c:pt idx="13">
                  <c:v>4.8861088829297961</c:v>
                </c:pt>
                <c:pt idx="15">
                  <c:v>5.2369749529880938</c:v>
                </c:pt>
                <c:pt idx="16">
                  <c:v>5.3881571902773313</c:v>
                </c:pt>
                <c:pt idx="17">
                  <c:v>6.1547967354492181</c:v>
                </c:pt>
                <c:pt idx="18">
                  <c:v>6.1718098415346114</c:v>
                </c:pt>
                <c:pt idx="20">
                  <c:v>6.6611947702313152</c:v>
                </c:pt>
                <c:pt idx="21">
                  <c:v>6.535064935064935</c:v>
                </c:pt>
                <c:pt idx="22">
                  <c:v>7.5842032146818168</c:v>
                </c:pt>
                <c:pt idx="23">
                  <c:v>6.8810852204354003</c:v>
                </c:pt>
                <c:pt idx="26">
                  <c:v>3.6028522662793607</c:v>
                </c:pt>
                <c:pt idx="27">
                  <c:v>2.0493189258262987</c:v>
                </c:pt>
                <c:pt idx="28">
                  <c:v>1.7000554650387762</c:v>
                </c:pt>
                <c:pt idx="29">
                  <c:v>0.93428531949103355</c:v>
                </c:pt>
                <c:pt idx="30">
                  <c:v>0.5173083858561639</c:v>
                </c:pt>
                <c:pt idx="32">
                  <c:v>2.2208655948181812</c:v>
                </c:pt>
                <c:pt idx="33">
                  <c:v>0.49322283877804179</c:v>
                </c:pt>
                <c:pt idx="34">
                  <c:v>0.13266181818181819</c:v>
                </c:pt>
                <c:pt idx="36">
                  <c:v>1.8318354637463474</c:v>
                </c:pt>
                <c:pt idx="37">
                  <c:v>1.2633348025836879</c:v>
                </c:pt>
                <c:pt idx="38">
                  <c:v>1.4438112029527861</c:v>
                </c:pt>
                <c:pt idx="39">
                  <c:v>2.0303595041523552</c:v>
                </c:pt>
                <c:pt idx="41">
                  <c:v>2.2901099542227317</c:v>
                </c:pt>
                <c:pt idx="42">
                  <c:v>2.9467721559962441</c:v>
                </c:pt>
                <c:pt idx="43">
                  <c:v>1.8885006165580507</c:v>
                </c:pt>
                <c:pt idx="44">
                  <c:v>4.5288000000000002E-2</c:v>
                </c:pt>
                <c:pt idx="45">
                  <c:v>0</c:v>
                </c:pt>
                <c:pt idx="46">
                  <c:v>5.4633142857142859E-2</c:v>
                </c:pt>
                <c:pt idx="48">
                  <c:v>2.5645028374065189</c:v>
                </c:pt>
                <c:pt idx="50">
                  <c:v>2.1756044565115946</c:v>
                </c:pt>
                <c:pt idx="51">
                  <c:v>2.2443077551382768</c:v>
                </c:pt>
                <c:pt idx="52">
                  <c:v>1.7633846647515032</c:v>
                </c:pt>
                <c:pt idx="53">
                  <c:v>1.6946813661248215</c:v>
                </c:pt>
                <c:pt idx="54">
                  <c:v>2.0175611597160037</c:v>
                </c:pt>
                <c:pt idx="55">
                  <c:v>1.4908358702447757</c:v>
                </c:pt>
                <c:pt idx="57">
                  <c:v>2.05444419968841</c:v>
                </c:pt>
                <c:pt idx="58">
                  <c:v>2.7551139922752483</c:v>
                </c:pt>
                <c:pt idx="59">
                  <c:v>4.2625500935992502</c:v>
                </c:pt>
                <c:pt idx="60">
                  <c:v>0.32478515205792674</c:v>
                </c:pt>
                <c:pt idx="61">
                  <c:v>0.30952119741560624</c:v>
                </c:pt>
                <c:pt idx="62">
                  <c:v>2.9217957622257877</c:v>
                </c:pt>
                <c:pt idx="64">
                  <c:v>3.358064579869469</c:v>
                </c:pt>
                <c:pt idx="65">
                  <c:v>4.0587343724563025</c:v>
                </c:pt>
                <c:pt idx="66">
                  <c:v>5.5661704737803044</c:v>
                </c:pt>
                <c:pt idx="67">
                  <c:v>1.6284055322389808</c:v>
                </c:pt>
                <c:pt idx="68">
                  <c:v>1.6131415775966602</c:v>
                </c:pt>
              </c:numCache>
            </c:numRef>
          </c:val>
        </c:ser>
        <c:axId val="157685632"/>
        <c:axId val="157687168"/>
      </c:barChart>
      <c:catAx>
        <c:axId val="157685632"/>
        <c:scaling>
          <c:orientation val="minMax"/>
        </c:scaling>
        <c:axPos val="b"/>
        <c:tickLblPos val="nextTo"/>
        <c:crossAx val="157687168"/>
        <c:crosses val="autoZero"/>
        <c:auto val="1"/>
        <c:lblAlgn val="ctr"/>
        <c:lblOffset val="100"/>
      </c:catAx>
      <c:valAx>
        <c:axId val="157687168"/>
        <c:scaling>
          <c:orientation val="minMax"/>
        </c:scaling>
        <c:axPos val="l"/>
        <c:majorGridlines/>
        <c:numFmt formatCode="0.00_);[Red]\(0.00\)" sourceLinked="1"/>
        <c:tickLblPos val="nextTo"/>
        <c:crossAx val="157685632"/>
        <c:crosses val="autoZero"/>
        <c:crossBetween val="between"/>
      </c:valAx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'WTP&amp;WTW'!$AI$1:$AI$2</c:f>
              <c:strCache>
                <c:ptCount val="1"/>
                <c:pt idx="0">
                  <c:v>WTW GHG emission (g CO2e/km)</c:v>
                </c:pt>
              </c:strCache>
            </c:strRef>
          </c:tx>
          <c:cat>
            <c:strRef>
              <c:f>'WTP&amp;WTW'!$A$3:$A$71</c:f>
              <c:strCache>
                <c:ptCount val="69"/>
                <c:pt idx="0">
                  <c:v>SI ICE-Gasoline (8L/100km)</c:v>
                </c:pt>
                <c:pt idx="1">
                  <c:v>SI ICE-Gasoline (7.7L/100km)</c:v>
                </c:pt>
                <c:pt idx="2">
                  <c:v>SI ICE-Gasoline (8.2L/100km)</c:v>
                </c:pt>
                <c:pt idx="3">
                  <c:v>SI ICE-Gasoline (5.7L/100km)</c:v>
                </c:pt>
                <c:pt idx="4">
                  <c:v>SI ICE-Gasoline (5.9L/100km)</c:v>
                </c:pt>
                <c:pt idx="5">
                  <c:v>SI ICE-Gasoline (4.5L/100km)</c:v>
                </c:pt>
                <c:pt idx="6">
                  <c:v>CI ICE-Diesel</c:v>
                </c:pt>
                <c:pt idx="7">
                  <c:v>SI ICE-LPG</c:v>
                </c:pt>
                <c:pt idx="9">
                  <c:v>SI ICE-CNG</c:v>
                </c:pt>
                <c:pt idx="10">
                  <c:v>SI ICE-LNG1</c:v>
                </c:pt>
                <c:pt idx="11">
                  <c:v>SI ICE-LNG2</c:v>
                </c:pt>
                <c:pt idx="12">
                  <c:v>SI ICE-LNG3</c:v>
                </c:pt>
                <c:pt idx="13">
                  <c:v>CI ICE-GTL</c:v>
                </c:pt>
                <c:pt idx="15">
                  <c:v>SI ICE-Methanol from coal</c:v>
                </c:pt>
                <c:pt idx="16">
                  <c:v>SI ICE-DME from coal</c:v>
                </c:pt>
                <c:pt idx="17">
                  <c:v>CI ICE-CTL</c:v>
                </c:pt>
                <c:pt idx="18">
                  <c:v>CI ICE-ICTL</c:v>
                </c:pt>
                <c:pt idx="20">
                  <c:v>SI ICE-Methanol from coal (CCS)</c:v>
                </c:pt>
                <c:pt idx="21">
                  <c:v>SI ICE-DME from coal (CCS)</c:v>
                </c:pt>
                <c:pt idx="22">
                  <c:v>CI ICE-CTL(CCS)</c:v>
                </c:pt>
                <c:pt idx="23">
                  <c:v>CI ICE-ICTL(CCS)</c:v>
                </c:pt>
                <c:pt idx="26">
                  <c:v>SI ICE-Corn ethanol</c:v>
                </c:pt>
                <c:pt idx="27">
                  <c:v>SI ICE-Cassava ethanol</c:v>
                </c:pt>
                <c:pt idx="28">
                  <c:v>SI ICE-Sweet sorghum ethanol</c:v>
                </c:pt>
                <c:pt idx="29">
                  <c:v>SI ICE-Woody ethanol</c:v>
                </c:pt>
                <c:pt idx="30">
                  <c:v>SI ICE-Herbaceous ethanol</c:v>
                </c:pt>
                <c:pt idx="32">
                  <c:v>CI ICE-Waste oil biodiesel</c:v>
                </c:pt>
                <c:pt idx="33">
                  <c:v>CI ICE-Jatropha biodiesel</c:v>
                </c:pt>
                <c:pt idx="34">
                  <c:v>CI ICE-BTL (F-T) biodiesel</c:v>
                </c:pt>
                <c:pt idx="36">
                  <c:v>BEV-Grid power (20.3KWh/100km)</c:v>
                </c:pt>
                <c:pt idx="37">
                  <c:v>BEV-Grid power (14 KWh/100km)</c:v>
                </c:pt>
                <c:pt idx="38">
                  <c:v>BEV-Grid power (16 KWh/100km)</c:v>
                </c:pt>
                <c:pt idx="39">
                  <c:v>BEV-Grid power (22.5 KWh/100km)</c:v>
                </c:pt>
                <c:pt idx="41">
                  <c:v>BEV-Coal power</c:v>
                </c:pt>
                <c:pt idx="42">
                  <c:v>BEV-Oil power</c:v>
                </c:pt>
                <c:pt idx="43">
                  <c:v>BEV-Gas power</c:v>
                </c:pt>
                <c:pt idx="44">
                  <c:v>BEV-Nuclear power</c:v>
                </c:pt>
                <c:pt idx="45">
                  <c:v>BEV-Large Hydro power</c:v>
                </c:pt>
                <c:pt idx="46">
                  <c:v>BEV-Biopower</c:v>
                </c:pt>
                <c:pt idx="48">
                  <c:v>BEV-Coal power(IGCC+CCS)</c:v>
                </c:pt>
                <c:pt idx="50">
                  <c:v>BEV-Grid power (Northeast)</c:v>
                </c:pt>
                <c:pt idx="51">
                  <c:v>BEV-Grid power (North)</c:v>
                </c:pt>
                <c:pt idx="52">
                  <c:v>BEV-Grid power (Northwest)</c:v>
                </c:pt>
                <c:pt idx="53">
                  <c:v>BEV-Grid power (Central)</c:v>
                </c:pt>
                <c:pt idx="54">
                  <c:v>BEV-Grid power (East)</c:v>
                </c:pt>
                <c:pt idx="55">
                  <c:v>BEV-Grid power (South)</c:v>
                </c:pt>
                <c:pt idx="57">
                  <c:v>FCV-Hydrogen from natural gas</c:v>
                </c:pt>
                <c:pt idx="58">
                  <c:v>FCV-Hydrogen from coal</c:v>
                </c:pt>
                <c:pt idx="59">
                  <c:v>FCV-Hydrogen from water electrolysis</c:v>
                </c:pt>
                <c:pt idx="60">
                  <c:v>FCV-Hydrogen from biomass</c:v>
                </c:pt>
                <c:pt idx="61">
                  <c:v>FCV-Hydrogen from nuclear</c:v>
                </c:pt>
                <c:pt idx="62">
                  <c:v>FCV-Hydrogen from coal (CCS)</c:v>
                </c:pt>
                <c:pt idx="64">
                  <c:v>FCV-Hydrogen from natural gas</c:v>
                </c:pt>
                <c:pt idx="65">
                  <c:v>FCV-Hydrogen from coal</c:v>
                </c:pt>
                <c:pt idx="66">
                  <c:v>FCV-Hydrogen from water electrolysis</c:v>
                </c:pt>
                <c:pt idx="67">
                  <c:v>FCV-Hydrogen from biomass</c:v>
                </c:pt>
                <c:pt idx="68">
                  <c:v>FCV-Hydrogen from nuclear</c:v>
                </c:pt>
              </c:strCache>
            </c:strRef>
          </c:cat>
          <c:val>
            <c:numRef>
              <c:f>'WTP&amp;WTW'!$AI$3:$AI$71</c:f>
              <c:numCache>
                <c:formatCode>0.00_ </c:formatCode>
                <c:ptCount val="69"/>
                <c:pt idx="0">
                  <c:v>228.3475890415595</c:v>
                </c:pt>
                <c:pt idx="1">
                  <c:v>219.78455445250103</c:v>
                </c:pt>
                <c:pt idx="2">
                  <c:v>234.05627876759849</c:v>
                </c:pt>
                <c:pt idx="3">
                  <c:v>162.69765719211114</c:v>
                </c:pt>
                <c:pt idx="4">
                  <c:v>168.40634691815012</c:v>
                </c:pt>
                <c:pt idx="5">
                  <c:v>128.44551883587724</c:v>
                </c:pt>
                <c:pt idx="6">
                  <c:v>212.42442797807749</c:v>
                </c:pt>
                <c:pt idx="7">
                  <c:v>227.69800000000001</c:v>
                </c:pt>
                <c:pt idx="9">
                  <c:v>193.68334891134745</c:v>
                </c:pt>
                <c:pt idx="10">
                  <c:v>19009.782899959311</c:v>
                </c:pt>
                <c:pt idx="11">
                  <c:v>19593.649715108382</c:v>
                </c:pt>
                <c:pt idx="12">
                  <c:v>19846.775528638267</c:v>
                </c:pt>
                <c:pt idx="13">
                  <c:v>328.3715364609817</c:v>
                </c:pt>
                <c:pt idx="15">
                  <c:v>610.42389531027345</c:v>
                </c:pt>
                <c:pt idx="16">
                  <c:v>627.62763636363627</c:v>
                </c:pt>
                <c:pt idx="17">
                  <c:v>463.08120817175916</c:v>
                </c:pt>
                <c:pt idx="18">
                  <c:v>663.53781818181824</c:v>
                </c:pt>
                <c:pt idx="20">
                  <c:v>403.50054096780781</c:v>
                </c:pt>
                <c:pt idx="21">
                  <c:v>445.56072727272726</c:v>
                </c:pt>
                <c:pt idx="22">
                  <c:v>342.65654524270894</c:v>
                </c:pt>
                <c:pt idx="23">
                  <c:v>574.79163636363637</c:v>
                </c:pt>
                <c:pt idx="26">
                  <c:v>493.25966102567833</c:v>
                </c:pt>
                <c:pt idx="27">
                  <c:v>224.78508530659494</c:v>
                </c:pt>
                <c:pt idx="28">
                  <c:v>160.26954337595097</c:v>
                </c:pt>
                <c:pt idx="29">
                  <c:v>79.7318078857746</c:v>
                </c:pt>
                <c:pt idx="30">
                  <c:v>9.5174561427939821</c:v>
                </c:pt>
                <c:pt idx="32">
                  <c:v>394.48180208639752</c:v>
                </c:pt>
                <c:pt idx="33">
                  <c:v>40.495416118041561</c:v>
                </c:pt>
                <c:pt idx="34">
                  <c:v>16.559854545454531</c:v>
                </c:pt>
                <c:pt idx="36">
                  <c:v>162.05898095743058</c:v>
                </c:pt>
                <c:pt idx="37">
                  <c:v>111.76481445340038</c:v>
                </c:pt>
                <c:pt idx="38">
                  <c:v>127.73121651817188</c:v>
                </c:pt>
                <c:pt idx="39">
                  <c:v>179.62202322867918</c:v>
                </c:pt>
                <c:pt idx="41">
                  <c:v>208.15086900056673</c:v>
                </c:pt>
                <c:pt idx="42">
                  <c:v>223.31665737085774</c:v>
                </c:pt>
                <c:pt idx="43">
                  <c:v>112.46805213474198</c:v>
                </c:pt>
                <c:pt idx="44">
                  <c:v>4.6725714285714286</c:v>
                </c:pt>
                <c:pt idx="45">
                  <c:v>3.5942857142857143</c:v>
                </c:pt>
                <c:pt idx="46">
                  <c:v>4.1693714285714281</c:v>
                </c:pt>
                <c:pt idx="48">
                  <c:v>67.649635642902126</c:v>
                </c:pt>
                <c:pt idx="50">
                  <c:v>197.8870969791098</c:v>
                </c:pt>
                <c:pt idx="51">
                  <c:v>204.02379447769823</c:v>
                </c:pt>
                <c:pt idx="52">
                  <c:v>161.06691198757923</c:v>
                </c:pt>
                <c:pt idx="53">
                  <c:v>154.96615734613366</c:v>
                </c:pt>
                <c:pt idx="54">
                  <c:v>183.65799329192726</c:v>
                </c:pt>
                <c:pt idx="55">
                  <c:v>136.60997913608264</c:v>
                </c:pt>
                <c:pt idx="57">
                  <c:v>139.11407404419882</c:v>
                </c:pt>
                <c:pt idx="58">
                  <c:v>249.0260850744385</c:v>
                </c:pt>
                <c:pt idx="59">
                  <c:v>434.12971702514426</c:v>
                </c:pt>
                <c:pt idx="60">
                  <c:v>31.604884061621615</c:v>
                </c:pt>
                <c:pt idx="61">
                  <c:v>27.101173250639565</c:v>
                </c:pt>
                <c:pt idx="62">
                  <c:v>94.248399772409613</c:v>
                </c:pt>
                <c:pt idx="64">
                  <c:v>271.68499379343609</c:v>
                </c:pt>
                <c:pt idx="65">
                  <c:v>381.59700482367577</c:v>
                </c:pt>
                <c:pt idx="66">
                  <c:v>566.70063677438145</c:v>
                </c:pt>
                <c:pt idx="67">
                  <c:v>164.17580381085892</c:v>
                </c:pt>
                <c:pt idx="68">
                  <c:v>159.67209299987687</c:v>
                </c:pt>
              </c:numCache>
            </c:numRef>
          </c:val>
        </c:ser>
        <c:axId val="157710976"/>
        <c:axId val="157712768"/>
      </c:barChart>
      <c:catAx>
        <c:axId val="157710976"/>
        <c:scaling>
          <c:orientation val="minMax"/>
        </c:scaling>
        <c:axPos val="b"/>
        <c:tickLblPos val="nextTo"/>
        <c:crossAx val="157712768"/>
        <c:crosses val="autoZero"/>
        <c:auto val="1"/>
        <c:lblAlgn val="ctr"/>
        <c:lblOffset val="100"/>
      </c:catAx>
      <c:valAx>
        <c:axId val="157712768"/>
        <c:scaling>
          <c:orientation val="minMax"/>
        </c:scaling>
        <c:axPos val="l"/>
        <c:majorGridlines/>
        <c:numFmt formatCode="0.00_ " sourceLinked="1"/>
        <c:tickLblPos val="nextTo"/>
        <c:crossAx val="157710976"/>
        <c:crosses val="autoZero"/>
        <c:crossBetween val="between"/>
      </c:valAx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'NG-based (2)'!$C$1:$C$2</c:f>
              <c:strCache>
                <c:ptCount val="1"/>
                <c:pt idx="0">
                  <c:v>WTW fossil energy use (MJ/km)</c:v>
                </c:pt>
              </c:strCache>
            </c:strRef>
          </c:tx>
          <c:dLbls>
            <c:dLbl>
              <c:idx val="4"/>
              <c:layout>
                <c:manualLayout>
                  <c:x val="-7.5444944640119753E-17"/>
                  <c:y val="-9.4562647754137495E-3"/>
                </c:manualLayout>
              </c:layout>
              <c:showVal val="1"/>
            </c:dLbl>
            <c:dLbl>
              <c:idx val="5"/>
              <c:layout>
                <c:manualLayout>
                  <c:x val="-1.8518518518518583E-2"/>
                  <c:y val="-2.3465435614874412E-2"/>
                </c:manualLayout>
              </c:layout>
              <c:showVal val="1"/>
            </c:dLbl>
            <c:dLbl>
              <c:idx val="6"/>
              <c:layout>
                <c:manualLayout>
                  <c:x val="-3.7037037037037056E-2"/>
                  <c:y val="6.3041765169424445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'NG-based (2)'!$D$3:$D$11</c:f>
                <c:numCache>
                  <c:formatCode>General</c:formatCode>
                  <c:ptCount val="9"/>
                  <c:pt idx="0">
                    <c:v>0.16924569859900968</c:v>
                  </c:pt>
                  <c:pt idx="1">
                    <c:v>0.15277701956867534</c:v>
                  </c:pt>
                  <c:pt idx="3">
                    <c:v>0.16796176132874041</c:v>
                  </c:pt>
                  <c:pt idx="4">
                    <c:v>0.35213386091432469</c:v>
                  </c:pt>
                  <c:pt idx="5">
                    <c:v>0.16741667576766928</c:v>
                  </c:pt>
                  <c:pt idx="6">
                    <c:v>0.16567992104962392</c:v>
                  </c:pt>
                  <c:pt idx="7">
                    <c:v>0.16769030365713938</c:v>
                  </c:pt>
                  <c:pt idx="8">
                    <c:v>0.86225450875231702</c:v>
                  </c:pt>
                </c:numCache>
              </c:numRef>
            </c:plus>
            <c:minus>
              <c:numRef>
                <c:f>'NG-based (2)'!$E$3:$E$11</c:f>
                <c:numCache>
                  <c:formatCode>General</c:formatCode>
                  <c:ptCount val="9"/>
                  <c:pt idx="0">
                    <c:v>0.16924569859900968</c:v>
                  </c:pt>
                  <c:pt idx="1">
                    <c:v>0.15277701956867534</c:v>
                  </c:pt>
                  <c:pt idx="3">
                    <c:v>0.16796176132874041</c:v>
                  </c:pt>
                  <c:pt idx="4">
                    <c:v>0.35213386091432469</c:v>
                  </c:pt>
                  <c:pt idx="5">
                    <c:v>0.16741667576766925</c:v>
                  </c:pt>
                  <c:pt idx="6">
                    <c:v>0.16567992104962392</c:v>
                  </c:pt>
                  <c:pt idx="7">
                    <c:v>0.16769030365713938</c:v>
                  </c:pt>
                  <c:pt idx="8">
                    <c:v>0.86225450875231702</c:v>
                  </c:pt>
                </c:numCache>
              </c:numRef>
            </c:minus>
          </c:errBars>
          <c:cat>
            <c:strRef>
              <c:f>'NG-based (2)'!$A$3:$A$11</c:f>
              <c:strCache>
                <c:ptCount val="9"/>
                <c:pt idx="0">
                  <c:v>SI ICE-Gasoline (8L/100km)</c:v>
                </c:pt>
                <c:pt idx="1">
                  <c:v>CI ICE-Diesel</c:v>
                </c:pt>
                <c:pt idx="3">
                  <c:v>SI ICE-LPG</c:v>
                </c:pt>
                <c:pt idx="4">
                  <c:v>SI ICE-CNG</c:v>
                </c:pt>
                <c:pt idx="5">
                  <c:v>SI ICE-LNG1</c:v>
                </c:pt>
                <c:pt idx="6">
                  <c:v>SI ICE-LNG2</c:v>
                </c:pt>
                <c:pt idx="7">
                  <c:v>SI ICE-LNG3</c:v>
                </c:pt>
                <c:pt idx="8">
                  <c:v>CI ICE-GTL</c:v>
                </c:pt>
              </c:strCache>
            </c:strRef>
          </c:cat>
          <c:val>
            <c:numRef>
              <c:f>'NG-based (2)'!$C$3:$C$11</c:f>
              <c:numCache>
                <c:formatCode>0.00_ </c:formatCode>
                <c:ptCount val="9"/>
                <c:pt idx="0">
                  <c:v>3.2156682733811834</c:v>
                </c:pt>
                <c:pt idx="1">
                  <c:v>2.9027633718048311</c:v>
                </c:pt>
                <c:pt idx="3">
                  <c:v>3.1912734652460677</c:v>
                </c:pt>
                <c:pt idx="4">
                  <c:v>3.1692047482289221</c:v>
                </c:pt>
                <c:pt idx="5">
                  <c:v>3.1809168395857159</c:v>
                </c:pt>
                <c:pt idx="6">
                  <c:v>3.1479184999428544</c:v>
                </c:pt>
                <c:pt idx="7">
                  <c:v>3.1861157694856477</c:v>
                </c:pt>
                <c:pt idx="8">
                  <c:v>4.8861088829297961</c:v>
                </c:pt>
              </c:numCache>
            </c:numRef>
          </c:val>
        </c:ser>
        <c:axId val="157808512"/>
        <c:axId val="157810048"/>
      </c:barChart>
      <c:catAx>
        <c:axId val="15780851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7810048"/>
        <c:crosses val="autoZero"/>
        <c:auto val="1"/>
        <c:lblAlgn val="ctr"/>
        <c:lblOffset val="100"/>
      </c:catAx>
      <c:valAx>
        <c:axId val="157810048"/>
        <c:scaling>
          <c:orientation val="minMax"/>
        </c:scaling>
        <c:axPos val="l"/>
        <c:majorGridlines/>
        <c:numFmt formatCode="0.0_ " sourceLinked="0"/>
        <c:tickLblPos val="nextTo"/>
        <c:crossAx val="157808512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'NG-based (2)'!$F$1:$F$2</c:f>
              <c:strCache>
                <c:ptCount val="1"/>
                <c:pt idx="0">
                  <c:v>WTW GHG emission (g CO2e/km)</c:v>
                </c:pt>
              </c:strCache>
            </c:strRef>
          </c:tx>
          <c:dLbls>
            <c:dLbl>
              <c:idx val="0"/>
              <c:layout>
                <c:manualLayout>
                  <c:x val="2.0768428587104202E-3"/>
                  <c:y val="-2.0512820512820596E-2"/>
                </c:manualLayout>
              </c:layout>
              <c:showVal val="1"/>
            </c:dLbl>
            <c:dLbl>
              <c:idx val="3"/>
              <c:layout>
                <c:manualLayout>
                  <c:x val="-7.6150025127794811E-17"/>
                  <c:y val="-3.0769230769230792E-2"/>
                </c:manualLayout>
              </c:layout>
              <c:showVal val="1"/>
            </c:dLbl>
            <c:dLbl>
              <c:idx val="6"/>
              <c:layout>
                <c:manualLayout>
                  <c:x val="0"/>
                  <c:y val="-1.7259978425026964E-2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'NG-based (2)'!$G$3:$G$11</c:f>
                <c:numCache>
                  <c:formatCode>General</c:formatCode>
                  <c:ptCount val="9"/>
                  <c:pt idx="0">
                    <c:v>12.01829416008208</c:v>
                  </c:pt>
                  <c:pt idx="1">
                    <c:v>11.180233051477764</c:v>
                  </c:pt>
                  <c:pt idx="3">
                    <c:v>11.984105263157897</c:v>
                  </c:pt>
                  <c:pt idx="4">
                    <c:v>21.520372101260829</c:v>
                  </c:pt>
                  <c:pt idx="5">
                    <c:v>10.005148894715427</c:v>
                  </c:pt>
                  <c:pt idx="6">
                    <c:v>10.312447218478097</c:v>
                  </c:pt>
                  <c:pt idx="7">
                    <c:v>10.445671330862247</c:v>
                  </c:pt>
                  <c:pt idx="8">
                    <c:v>57.947918198996774</c:v>
                  </c:pt>
                </c:numCache>
              </c:numRef>
            </c:plus>
            <c:minus>
              <c:numRef>
                <c:f>'NG-based (2)'!$H$3:$H$11</c:f>
                <c:numCache>
                  <c:formatCode>General</c:formatCode>
                  <c:ptCount val="9"/>
                  <c:pt idx="0">
                    <c:v>12.01829416008208</c:v>
                  </c:pt>
                  <c:pt idx="1">
                    <c:v>11.180233051477764</c:v>
                  </c:pt>
                  <c:pt idx="3">
                    <c:v>11.984105263157897</c:v>
                  </c:pt>
                  <c:pt idx="4">
                    <c:v>21.520372101260829</c:v>
                  </c:pt>
                  <c:pt idx="5">
                    <c:v>10.005148894715427</c:v>
                  </c:pt>
                  <c:pt idx="6">
                    <c:v>10.312447218478097</c:v>
                  </c:pt>
                  <c:pt idx="7">
                    <c:v>10.445671330862247</c:v>
                  </c:pt>
                  <c:pt idx="8">
                    <c:v>57.947918198996767</c:v>
                  </c:pt>
                </c:numCache>
              </c:numRef>
            </c:minus>
          </c:errBars>
          <c:cat>
            <c:strRef>
              <c:f>'NG-based (2)'!$A$3:$A$11</c:f>
              <c:strCache>
                <c:ptCount val="9"/>
                <c:pt idx="0">
                  <c:v>SI ICE-Gasoline (8L/100km)</c:v>
                </c:pt>
                <c:pt idx="1">
                  <c:v>CI ICE-Diesel</c:v>
                </c:pt>
                <c:pt idx="3">
                  <c:v>SI ICE-LPG</c:v>
                </c:pt>
                <c:pt idx="4">
                  <c:v>SI ICE-CNG</c:v>
                </c:pt>
                <c:pt idx="5">
                  <c:v>SI ICE-LNG1</c:v>
                </c:pt>
                <c:pt idx="6">
                  <c:v>SI ICE-LNG2</c:v>
                </c:pt>
                <c:pt idx="7">
                  <c:v>SI ICE-LNG3</c:v>
                </c:pt>
                <c:pt idx="8">
                  <c:v>CI ICE-GTL</c:v>
                </c:pt>
              </c:strCache>
            </c:strRef>
          </c:cat>
          <c:val>
            <c:numRef>
              <c:f>'NG-based (2)'!$F$3:$F$11</c:f>
              <c:numCache>
                <c:formatCode>0.00_ </c:formatCode>
                <c:ptCount val="9"/>
                <c:pt idx="0">
                  <c:v>228.3475890415595</c:v>
                </c:pt>
                <c:pt idx="1">
                  <c:v>212.42442797807749</c:v>
                </c:pt>
                <c:pt idx="3">
                  <c:v>227.69800000000001</c:v>
                </c:pt>
                <c:pt idx="4">
                  <c:v>193.68334891134745</c:v>
                </c:pt>
                <c:pt idx="5">
                  <c:v>190.0978289995931</c:v>
                </c:pt>
                <c:pt idx="6">
                  <c:v>195.93649715108381</c:v>
                </c:pt>
                <c:pt idx="7">
                  <c:v>198.46775528638267</c:v>
                </c:pt>
                <c:pt idx="8">
                  <c:v>328.3715364609817</c:v>
                </c:pt>
              </c:numCache>
            </c:numRef>
          </c:val>
        </c:ser>
        <c:axId val="154299776"/>
        <c:axId val="154334336"/>
      </c:barChart>
      <c:catAx>
        <c:axId val="15429977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4334336"/>
        <c:crosses val="autoZero"/>
        <c:auto val="1"/>
        <c:lblAlgn val="ctr"/>
        <c:lblOffset val="100"/>
      </c:catAx>
      <c:valAx>
        <c:axId val="154334336"/>
        <c:scaling>
          <c:orientation val="minMax"/>
        </c:scaling>
        <c:axPos val="l"/>
        <c:majorGridlines/>
        <c:numFmt formatCode="0_ " sourceLinked="0"/>
        <c:tickLblPos val="nextTo"/>
        <c:crossAx val="154299776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'NG-based (2)'!$C$1:$C$2</c:f>
              <c:strCache>
                <c:ptCount val="1"/>
                <c:pt idx="0">
                  <c:v>WTW fossil energy use (MJ/km)</c:v>
                </c:pt>
              </c:strCache>
            </c:strRef>
          </c:tx>
          <c:dLbls>
            <c:dLbl>
              <c:idx val="4"/>
              <c:layout>
                <c:manualLayout>
                  <c:x val="-7.5444944640119753E-17"/>
                  <c:y val="-9.4562647754137495E-3"/>
                </c:manualLayout>
              </c:layout>
              <c:showVal val="1"/>
            </c:dLbl>
            <c:dLbl>
              <c:idx val="5"/>
              <c:layout>
                <c:manualLayout>
                  <c:x val="-1.8518518518518583E-2"/>
                  <c:y val="-2.3465435614874412E-2"/>
                </c:manualLayout>
              </c:layout>
              <c:showVal val="1"/>
            </c:dLbl>
            <c:dLbl>
              <c:idx val="6"/>
              <c:layout>
                <c:manualLayout>
                  <c:x val="-3.7037037037037056E-2"/>
                  <c:y val="6.3041765169424445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'NG-based (2)'!$D$3:$D$11</c:f>
                <c:numCache>
                  <c:formatCode>General</c:formatCode>
                  <c:ptCount val="9"/>
                  <c:pt idx="0">
                    <c:v>0.16924569859900968</c:v>
                  </c:pt>
                  <c:pt idx="1">
                    <c:v>0.15277701956867534</c:v>
                  </c:pt>
                  <c:pt idx="3">
                    <c:v>0.16796176132874041</c:v>
                  </c:pt>
                  <c:pt idx="4">
                    <c:v>0.35213386091432469</c:v>
                  </c:pt>
                  <c:pt idx="5">
                    <c:v>0.16741667576766928</c:v>
                  </c:pt>
                  <c:pt idx="6">
                    <c:v>0.16567992104962392</c:v>
                  </c:pt>
                  <c:pt idx="7">
                    <c:v>0.16769030365713938</c:v>
                  </c:pt>
                  <c:pt idx="8">
                    <c:v>0.86225450875231702</c:v>
                  </c:pt>
                </c:numCache>
              </c:numRef>
            </c:plus>
            <c:minus>
              <c:numRef>
                <c:f>'NG-based (2)'!$E$3:$E$11</c:f>
                <c:numCache>
                  <c:formatCode>General</c:formatCode>
                  <c:ptCount val="9"/>
                  <c:pt idx="0">
                    <c:v>0.16924569859900968</c:v>
                  </c:pt>
                  <c:pt idx="1">
                    <c:v>0.15277701956867534</c:v>
                  </c:pt>
                  <c:pt idx="3">
                    <c:v>0.16796176132874041</c:v>
                  </c:pt>
                  <c:pt idx="4">
                    <c:v>0.35213386091432469</c:v>
                  </c:pt>
                  <c:pt idx="5">
                    <c:v>0.16741667576766925</c:v>
                  </c:pt>
                  <c:pt idx="6">
                    <c:v>0.16567992104962392</c:v>
                  </c:pt>
                  <c:pt idx="7">
                    <c:v>0.16769030365713938</c:v>
                  </c:pt>
                  <c:pt idx="8">
                    <c:v>0.86225450875231702</c:v>
                  </c:pt>
                </c:numCache>
              </c:numRef>
            </c:minus>
          </c:errBars>
          <c:cat>
            <c:strRef>
              <c:f>('NG-based (2)'!$B$3:$B$5,'NG-based (2)'!$B$7:$B$11)</c:f>
              <c:strCache>
                <c:ptCount val="8"/>
                <c:pt idx="0">
                  <c:v>汽油车</c:v>
                </c:pt>
                <c:pt idx="1">
                  <c:v>柴油车</c:v>
                </c:pt>
                <c:pt idx="3">
                  <c:v>CNG车</c:v>
                </c:pt>
                <c:pt idx="4">
                  <c:v>LNG车(海外进口)</c:v>
                </c:pt>
                <c:pt idx="5">
                  <c:v>LNG车(井口液化)</c:v>
                </c:pt>
                <c:pt idx="6">
                  <c:v>LNG车(管道气液化)</c:v>
                </c:pt>
                <c:pt idx="7">
                  <c:v>GTL车</c:v>
                </c:pt>
              </c:strCache>
            </c:strRef>
          </c:cat>
          <c:val>
            <c:numRef>
              <c:f>('NG-based (2)'!$C$3:$C$5,'NG-based (2)'!$C$7:$C$11)</c:f>
              <c:numCache>
                <c:formatCode>0.00_ </c:formatCode>
                <c:ptCount val="8"/>
                <c:pt idx="0">
                  <c:v>3.2156682733811834</c:v>
                </c:pt>
                <c:pt idx="1">
                  <c:v>2.9027633718048311</c:v>
                </c:pt>
                <c:pt idx="3">
                  <c:v>3.1692047482289221</c:v>
                </c:pt>
                <c:pt idx="4">
                  <c:v>3.1809168395857159</c:v>
                </c:pt>
                <c:pt idx="5">
                  <c:v>3.1479184999428544</c:v>
                </c:pt>
                <c:pt idx="6">
                  <c:v>3.1861157694856477</c:v>
                </c:pt>
                <c:pt idx="7">
                  <c:v>4.8861088829297961</c:v>
                </c:pt>
              </c:numCache>
            </c:numRef>
          </c:val>
        </c:ser>
        <c:axId val="157373568"/>
        <c:axId val="157375104"/>
      </c:barChart>
      <c:catAx>
        <c:axId val="15737356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7375104"/>
        <c:crosses val="autoZero"/>
        <c:auto val="1"/>
        <c:lblAlgn val="ctr"/>
        <c:lblOffset val="100"/>
      </c:catAx>
      <c:valAx>
        <c:axId val="157375104"/>
        <c:scaling>
          <c:orientation val="minMax"/>
        </c:scaling>
        <c:axPos val="l"/>
        <c:majorGridlines/>
        <c:numFmt formatCode="0.0_ " sourceLinked="0"/>
        <c:tickLblPos val="nextTo"/>
        <c:crossAx val="157373568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'NG-based (2)'!$F$1:$F$2</c:f>
              <c:strCache>
                <c:ptCount val="1"/>
                <c:pt idx="0">
                  <c:v>WTW GHG emission (g CO2e/km)</c:v>
                </c:pt>
              </c:strCache>
            </c:strRef>
          </c:tx>
          <c:dLbls>
            <c:dLbl>
              <c:idx val="0"/>
              <c:layout>
                <c:manualLayout>
                  <c:x val="2.0768428587104202E-3"/>
                  <c:y val="-2.0512820512820596E-2"/>
                </c:manualLayout>
              </c:layout>
              <c:showVal val="1"/>
            </c:dLbl>
            <c:dLbl>
              <c:idx val="3"/>
              <c:layout>
                <c:manualLayout>
                  <c:x val="-7.6150025127794811E-17"/>
                  <c:y val="-3.0769230769230792E-2"/>
                </c:manualLayout>
              </c:layout>
              <c:showVal val="1"/>
            </c:dLbl>
            <c:dLbl>
              <c:idx val="6"/>
              <c:layout>
                <c:manualLayout>
                  <c:x val="0"/>
                  <c:y val="-1.7259978425026964E-2"/>
                </c:manualLayout>
              </c:layout>
              <c:showVal val="1"/>
            </c:dLbl>
            <c:numFmt formatCode="#,##0;[Red]\-#,##0" sourceLinked="0"/>
            <c:showVal val="1"/>
          </c:dLbls>
          <c:errBars>
            <c:errBarType val="both"/>
            <c:errValType val="cust"/>
            <c:plus>
              <c:numRef>
                <c:f>'NG-based (2)'!$G$3:$G$11</c:f>
                <c:numCache>
                  <c:formatCode>General</c:formatCode>
                  <c:ptCount val="9"/>
                  <c:pt idx="0">
                    <c:v>12.01829416008208</c:v>
                  </c:pt>
                  <c:pt idx="1">
                    <c:v>11.180233051477764</c:v>
                  </c:pt>
                  <c:pt idx="3">
                    <c:v>11.984105263157897</c:v>
                  </c:pt>
                  <c:pt idx="4">
                    <c:v>21.520372101260829</c:v>
                  </c:pt>
                  <c:pt idx="5">
                    <c:v>10.005148894715427</c:v>
                  </c:pt>
                  <c:pt idx="6">
                    <c:v>10.312447218478097</c:v>
                  </c:pt>
                  <c:pt idx="7">
                    <c:v>10.445671330862247</c:v>
                  </c:pt>
                  <c:pt idx="8">
                    <c:v>57.947918198996774</c:v>
                  </c:pt>
                </c:numCache>
              </c:numRef>
            </c:plus>
            <c:minus>
              <c:numRef>
                <c:f>'NG-based (2)'!$H$3:$H$11</c:f>
                <c:numCache>
                  <c:formatCode>General</c:formatCode>
                  <c:ptCount val="9"/>
                  <c:pt idx="0">
                    <c:v>12.01829416008208</c:v>
                  </c:pt>
                  <c:pt idx="1">
                    <c:v>11.180233051477764</c:v>
                  </c:pt>
                  <c:pt idx="3">
                    <c:v>11.984105263157897</c:v>
                  </c:pt>
                  <c:pt idx="4">
                    <c:v>21.520372101260829</c:v>
                  </c:pt>
                  <c:pt idx="5">
                    <c:v>10.005148894715427</c:v>
                  </c:pt>
                  <c:pt idx="6">
                    <c:v>10.312447218478097</c:v>
                  </c:pt>
                  <c:pt idx="7">
                    <c:v>10.445671330862247</c:v>
                  </c:pt>
                  <c:pt idx="8">
                    <c:v>57.947918198996767</c:v>
                  </c:pt>
                </c:numCache>
              </c:numRef>
            </c:minus>
          </c:errBars>
          <c:cat>
            <c:strRef>
              <c:f>('NG-based (2)'!$B$3:$B$5,'NG-based (2)'!$B$7:$B$11)</c:f>
              <c:strCache>
                <c:ptCount val="8"/>
                <c:pt idx="0">
                  <c:v>汽油车</c:v>
                </c:pt>
                <c:pt idx="1">
                  <c:v>柴油车</c:v>
                </c:pt>
                <c:pt idx="3">
                  <c:v>CNG车</c:v>
                </c:pt>
                <c:pt idx="4">
                  <c:v>LNG车(海外进口)</c:v>
                </c:pt>
                <c:pt idx="5">
                  <c:v>LNG车(井口液化)</c:v>
                </c:pt>
                <c:pt idx="6">
                  <c:v>LNG车(管道气液化)</c:v>
                </c:pt>
                <c:pt idx="7">
                  <c:v>GTL车</c:v>
                </c:pt>
              </c:strCache>
            </c:strRef>
          </c:cat>
          <c:val>
            <c:numRef>
              <c:f>('NG-based (2)'!$F$3:$F$5,'NG-based (2)'!$F$7:$F$11)</c:f>
              <c:numCache>
                <c:formatCode>0.00_ </c:formatCode>
                <c:ptCount val="8"/>
                <c:pt idx="0">
                  <c:v>228.3475890415595</c:v>
                </c:pt>
                <c:pt idx="1">
                  <c:v>212.42442797807749</c:v>
                </c:pt>
                <c:pt idx="3">
                  <c:v>193.68334891134745</c:v>
                </c:pt>
                <c:pt idx="4">
                  <c:v>190.0978289995931</c:v>
                </c:pt>
                <c:pt idx="5">
                  <c:v>195.93649715108381</c:v>
                </c:pt>
                <c:pt idx="6">
                  <c:v>198.46775528638267</c:v>
                </c:pt>
                <c:pt idx="7">
                  <c:v>328.3715364609817</c:v>
                </c:pt>
              </c:numCache>
            </c:numRef>
          </c:val>
        </c:ser>
        <c:axId val="157403776"/>
        <c:axId val="157503872"/>
      </c:barChart>
      <c:catAx>
        <c:axId val="15740377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7503872"/>
        <c:crosses val="autoZero"/>
        <c:auto val="1"/>
        <c:lblAlgn val="ctr"/>
        <c:lblOffset val="100"/>
      </c:catAx>
      <c:valAx>
        <c:axId val="157503872"/>
        <c:scaling>
          <c:orientation val="minMax"/>
        </c:scaling>
        <c:axPos val="l"/>
        <c:majorGridlines/>
        <c:numFmt formatCode="0_ " sourceLinked="0"/>
        <c:tickLblPos val="nextTo"/>
        <c:crossAx val="157403776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>
        <c:manualLayout>
          <c:layoutTarget val="inner"/>
          <c:xMode val="edge"/>
          <c:yMode val="edge"/>
          <c:x val="8.6464370570814575E-2"/>
          <c:y val="0.1431209874982558"/>
          <c:w val="0.88991781270276749"/>
          <c:h val="0.42216519957287602"/>
        </c:manualLayout>
      </c:layout>
      <c:barChart>
        <c:barDir val="col"/>
        <c:grouping val="clustered"/>
        <c:ser>
          <c:idx val="0"/>
          <c:order val="0"/>
          <c:tx>
            <c:strRef>
              <c:f>Biofuel!$C$1:$C$2</c:f>
              <c:strCache>
                <c:ptCount val="1"/>
                <c:pt idx="0">
                  <c:v>WTW fossil energy use (MJ/km)</c:v>
                </c:pt>
              </c:strCache>
            </c:strRef>
          </c:tx>
          <c:dLbls>
            <c:dLbl>
              <c:idx val="2"/>
              <c:layout>
                <c:manualLayout>
                  <c:x val="4.8959602031682127E-3"/>
                  <c:y val="-3.0690537084399092E-2"/>
                </c:manualLayout>
              </c:layout>
              <c:showVal val="1"/>
            </c:dLbl>
            <c:dLbl>
              <c:idx val="4"/>
              <c:layout>
                <c:manualLayout>
                  <c:x val="3.4353187965699604E-2"/>
                  <c:y val="-2.3809530186279595E-2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Biofuel!$D$3:$D$14</c:f>
                <c:numCache>
                  <c:formatCode>General</c:formatCode>
                  <c:ptCount val="12"/>
                  <c:pt idx="0">
                    <c:v>0.16924569859900968</c:v>
                  </c:pt>
                  <c:pt idx="1">
                    <c:v>0.15277701956867534</c:v>
                  </c:pt>
                  <c:pt idx="3">
                    <c:v>0.40031691847548456</c:v>
                  </c:pt>
                  <c:pt idx="4">
                    <c:v>0.22770210286958875</c:v>
                  </c:pt>
                  <c:pt idx="5">
                    <c:v>2.5500831975581639</c:v>
                  </c:pt>
                  <c:pt idx="6">
                    <c:v>0.10380947994344818</c:v>
                  </c:pt>
                  <c:pt idx="7">
                    <c:v>5.747870953957377E-2</c:v>
                  </c:pt>
                  <c:pt idx="9">
                    <c:v>0.24676284386868683</c:v>
                  </c:pt>
                  <c:pt idx="10">
                    <c:v>5.4802537642004649E-2</c:v>
                  </c:pt>
                  <c:pt idx="11">
                    <c:v>3.3165454545454547E-2</c:v>
                  </c:pt>
                </c:numCache>
              </c:numRef>
            </c:plus>
            <c:minus>
              <c:numRef>
                <c:f>Biofuel!$E$3:$E$14</c:f>
                <c:numCache>
                  <c:formatCode>General</c:formatCode>
                  <c:ptCount val="12"/>
                  <c:pt idx="0">
                    <c:v>0.16924569859900968</c:v>
                  </c:pt>
                  <c:pt idx="1">
                    <c:v>0.15277701956867534</c:v>
                  </c:pt>
                  <c:pt idx="3">
                    <c:v>0.90071306656984018</c:v>
                  </c:pt>
                  <c:pt idx="4">
                    <c:v>0.51232973145657468</c:v>
                  </c:pt>
                  <c:pt idx="5">
                    <c:v>0.42501386625969406</c:v>
                  </c:pt>
                  <c:pt idx="6">
                    <c:v>0.10380947994344818</c:v>
                  </c:pt>
                  <c:pt idx="7">
                    <c:v>5.7478709539573763E-2</c:v>
                  </c:pt>
                  <c:pt idx="9">
                    <c:v>0.95179954063636341</c:v>
                  </c:pt>
                  <c:pt idx="10">
                    <c:v>5.4802537642004649E-2</c:v>
                  </c:pt>
                  <c:pt idx="11">
                    <c:v>3.3165454545454547E-2</c:v>
                  </c:pt>
                </c:numCache>
              </c:numRef>
            </c:minus>
          </c:errBars>
          <c:cat>
            <c:strRef>
              <c:f>Biofuel!$B$3:$B$14</c:f>
              <c:strCache>
                <c:ptCount val="12"/>
                <c:pt idx="0">
                  <c:v>汽油车</c:v>
                </c:pt>
                <c:pt idx="1">
                  <c:v>柴油车</c:v>
                </c:pt>
                <c:pt idx="3">
                  <c:v>玉米乙醇汽车</c:v>
                </c:pt>
                <c:pt idx="4">
                  <c:v>木薯乙醇汽车</c:v>
                </c:pt>
                <c:pt idx="5">
                  <c:v>甜高粱乙醇汽车</c:v>
                </c:pt>
                <c:pt idx="6">
                  <c:v>木本二代生物燃料汽车</c:v>
                </c:pt>
                <c:pt idx="7">
                  <c:v>草本二代生物燃料汽车</c:v>
                </c:pt>
                <c:pt idx="9">
                  <c:v>废弃油生物柴油汽车</c:v>
                </c:pt>
                <c:pt idx="10">
                  <c:v>小桐子生物柴油汽车</c:v>
                </c:pt>
                <c:pt idx="11">
                  <c:v>费托生物柴油汽车</c:v>
                </c:pt>
              </c:strCache>
            </c:strRef>
          </c:cat>
          <c:val>
            <c:numRef>
              <c:f>Biofuel!$C$3:$C$14</c:f>
              <c:numCache>
                <c:formatCode>0.00_ </c:formatCode>
                <c:ptCount val="12"/>
                <c:pt idx="0">
                  <c:v>3.2156682733811834</c:v>
                </c:pt>
                <c:pt idx="1">
                  <c:v>2.9027633718048311</c:v>
                </c:pt>
                <c:pt idx="3">
                  <c:v>3.6028522662793607</c:v>
                </c:pt>
                <c:pt idx="4">
                  <c:v>2.0493189258262987</c:v>
                </c:pt>
                <c:pt idx="5">
                  <c:v>1.7000554650387762</c:v>
                </c:pt>
                <c:pt idx="6">
                  <c:v>0.93428531949103355</c:v>
                </c:pt>
                <c:pt idx="7">
                  <c:v>0.5173083858561639</c:v>
                </c:pt>
                <c:pt idx="9">
                  <c:v>2.2208655948181812</c:v>
                </c:pt>
                <c:pt idx="10">
                  <c:v>0.49322283877804179</c:v>
                </c:pt>
                <c:pt idx="11">
                  <c:v>0.13266181818181819</c:v>
                </c:pt>
              </c:numCache>
            </c:numRef>
          </c:val>
        </c:ser>
        <c:axId val="158069504"/>
        <c:axId val="158071040"/>
      </c:barChart>
      <c:catAx>
        <c:axId val="158069504"/>
        <c:scaling>
          <c:orientation val="minMax"/>
        </c:scaling>
        <c:axPos val="b"/>
        <c:tickLblPos val="nextTo"/>
        <c:txPr>
          <a:bodyPr rot="-5400000" vert="horz" anchor="t" anchorCtr="0"/>
          <a:lstStyle/>
          <a:p>
            <a:pPr>
              <a:defRPr/>
            </a:pPr>
            <a:endParaRPr lang="zh-CN"/>
          </a:p>
        </c:txPr>
        <c:crossAx val="158071040"/>
        <c:crosses val="autoZero"/>
        <c:auto val="1"/>
        <c:lblAlgn val="ctr"/>
        <c:lblOffset val="100"/>
      </c:catAx>
      <c:valAx>
        <c:axId val="158071040"/>
        <c:scaling>
          <c:orientation val="minMax"/>
        </c:scaling>
        <c:axPos val="l"/>
        <c:majorGridlines/>
        <c:numFmt formatCode="0.0_ " sourceLinked="0"/>
        <c:tickLblPos val="nextTo"/>
        <c:crossAx val="158069504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5.5016181229773767E-2"/>
          <c:y val="7.1065989847716032E-2"/>
          <c:w val="0.91909385113268605"/>
          <c:h val="0.7461928934010178"/>
        </c:manualLayout>
      </c:layout>
      <c:barChart>
        <c:barDir val="col"/>
        <c:grouping val="stacked"/>
        <c:ser>
          <c:idx val="0"/>
          <c:order val="0"/>
          <c:dLbls>
            <c:showVal val="1"/>
          </c:dLbls>
          <c:cat>
            <c:strRef>
              <c:f>'fuel summary'!$E$48:$I$48</c:f>
              <c:strCache>
                <c:ptCount val="5"/>
                <c:pt idx="0">
                  <c:v>NG开采处理阶段</c:v>
                </c:pt>
                <c:pt idx="2">
                  <c:v>NG液化阶段</c:v>
                </c:pt>
                <c:pt idx="3">
                  <c:v>LNG输配阶段</c:v>
                </c:pt>
                <c:pt idx="4">
                  <c:v>使用阶段</c:v>
                </c:pt>
              </c:strCache>
            </c:strRef>
          </c:cat>
          <c:val>
            <c:numRef>
              <c:f>'fuel summary'!$E$57:$I$57</c:f>
              <c:numCache>
                <c:formatCode>General</c:formatCode>
                <c:ptCount val="5"/>
                <c:pt idx="0" formatCode="0.0">
                  <c:v>8.6172757468155936</c:v>
                </c:pt>
                <c:pt idx="2" formatCode="0.0">
                  <c:v>11.412462692643675</c:v>
                </c:pt>
                <c:pt idx="3" formatCode="0.0">
                  <c:v>0.4816401677656395</c:v>
                </c:pt>
                <c:pt idx="4" formatCode="0.0">
                  <c:v>57.122999999999998</c:v>
                </c:pt>
              </c:numCache>
            </c:numRef>
          </c:val>
        </c:ser>
        <c:overlap val="100"/>
        <c:axId val="152133632"/>
        <c:axId val="152135168"/>
      </c:barChart>
      <c:catAx>
        <c:axId val="152133632"/>
        <c:scaling>
          <c:orientation val="minMax"/>
        </c:scaling>
        <c:axPos val="b"/>
        <c:numFmt formatCode="General" sourceLinked="1"/>
        <c:tickLblPos val="nextTo"/>
        <c:crossAx val="152135168"/>
        <c:crosses val="autoZero"/>
        <c:auto val="1"/>
        <c:lblAlgn val="ctr"/>
        <c:lblOffset val="100"/>
      </c:catAx>
      <c:valAx>
        <c:axId val="152135168"/>
        <c:scaling>
          <c:orientation val="minMax"/>
        </c:scaling>
        <c:axPos val="l"/>
        <c:majorGridlines/>
        <c:numFmt formatCode="#,##0;[Red]\-#,##0" sourceLinked="0"/>
        <c:tickLblPos val="nextTo"/>
        <c:crossAx val="152133632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Biofuel!$F$1:$F$2</c:f>
              <c:strCache>
                <c:ptCount val="1"/>
                <c:pt idx="0">
                  <c:v>WTW GHG emission (g CO2e/km)</c:v>
                </c:pt>
              </c:strCache>
            </c:strRef>
          </c:tx>
          <c:dLbls>
            <c:dLbl>
              <c:idx val="2"/>
              <c:layout>
                <c:manualLayout>
                  <c:x val="-3.0932030932030931E-2"/>
                  <c:y val="2.7100271002710119E-2"/>
                </c:manualLayout>
              </c:layout>
              <c:showVal val="1"/>
            </c:dLbl>
            <c:dLbl>
              <c:idx val="3"/>
              <c:layout>
                <c:manualLayout>
                  <c:x val="-3.2560032560032558E-2"/>
                  <c:y val="8.130081300813009E-3"/>
                </c:manualLayout>
              </c:layout>
              <c:showVal val="1"/>
            </c:dLbl>
            <c:dLbl>
              <c:idx val="7"/>
              <c:layout>
                <c:manualLayout>
                  <c:x val="-3.0932030932030931E-2"/>
                  <c:y val="1.6260162601626021E-2"/>
                </c:manualLayout>
              </c:layout>
              <c:showVal val="1"/>
            </c:dLbl>
            <c:dLbl>
              <c:idx val="8"/>
              <c:layout>
                <c:manualLayout>
                  <c:x val="-3.5816035816035818E-2"/>
                  <c:y val="-5.4200542005420054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Biofuel!$G$3:$G$14</c:f>
                <c:numCache>
                  <c:formatCode>General</c:formatCode>
                  <c:ptCount val="12"/>
                  <c:pt idx="0">
                    <c:v>12.01829416008208</c:v>
                  </c:pt>
                  <c:pt idx="1">
                    <c:v>11.180233051477764</c:v>
                  </c:pt>
                  <c:pt idx="3">
                    <c:v>54.80662900285315</c:v>
                  </c:pt>
                  <c:pt idx="4">
                    <c:v>24.976120589621662</c:v>
                  </c:pt>
                  <c:pt idx="5">
                    <c:v>240.40431506392642</c:v>
                  </c:pt>
                  <c:pt idx="6">
                    <c:v>-8.8590897650860665</c:v>
                  </c:pt>
                  <c:pt idx="7">
                    <c:v>1.0574951269771091</c:v>
                  </c:pt>
                  <c:pt idx="9">
                    <c:v>43.831311342933063</c:v>
                  </c:pt>
                  <c:pt idx="10">
                    <c:v>4.4994906797823964</c:v>
                  </c:pt>
                  <c:pt idx="11">
                    <c:v>4.1399636363636327</c:v>
                  </c:pt>
                </c:numCache>
              </c:numRef>
            </c:plus>
            <c:minus>
              <c:numRef>
                <c:f>Biofuel!$H$3:$H$14</c:f>
                <c:numCache>
                  <c:formatCode>General</c:formatCode>
                  <c:ptCount val="12"/>
                  <c:pt idx="0">
                    <c:v>12.01829416008208</c:v>
                  </c:pt>
                  <c:pt idx="1">
                    <c:v>11.180233051477764</c:v>
                  </c:pt>
                  <c:pt idx="3">
                    <c:v>123.31491525641958</c:v>
                  </c:pt>
                  <c:pt idx="4">
                    <c:v>56.196271326648741</c:v>
                  </c:pt>
                  <c:pt idx="5">
                    <c:v>40.067385843987736</c:v>
                  </c:pt>
                  <c:pt idx="6">
                    <c:v>-8.8590897650860665</c:v>
                  </c:pt>
                  <c:pt idx="7">
                    <c:v>1.0574951269771091</c:v>
                  </c:pt>
                  <c:pt idx="9">
                    <c:v>169.06362946559895</c:v>
                  </c:pt>
                  <c:pt idx="10">
                    <c:v>4.4994906797823955</c:v>
                  </c:pt>
                  <c:pt idx="11">
                    <c:v>4.1399636363636327</c:v>
                  </c:pt>
                </c:numCache>
              </c:numRef>
            </c:minus>
          </c:errBars>
          <c:cat>
            <c:strRef>
              <c:f>Biofuel!$B$3:$B$14</c:f>
              <c:strCache>
                <c:ptCount val="12"/>
                <c:pt idx="0">
                  <c:v>汽油车</c:v>
                </c:pt>
                <c:pt idx="1">
                  <c:v>柴油车</c:v>
                </c:pt>
                <c:pt idx="3">
                  <c:v>玉米乙醇汽车</c:v>
                </c:pt>
                <c:pt idx="4">
                  <c:v>木薯乙醇汽车</c:v>
                </c:pt>
                <c:pt idx="5">
                  <c:v>甜高粱乙醇汽车</c:v>
                </c:pt>
                <c:pt idx="6">
                  <c:v>木本二代生物燃料汽车</c:v>
                </c:pt>
                <c:pt idx="7">
                  <c:v>草本二代生物燃料汽车</c:v>
                </c:pt>
                <c:pt idx="9">
                  <c:v>废弃油生物柴油汽车</c:v>
                </c:pt>
                <c:pt idx="10">
                  <c:v>小桐子生物柴油汽车</c:v>
                </c:pt>
                <c:pt idx="11">
                  <c:v>费托生物柴油汽车</c:v>
                </c:pt>
              </c:strCache>
            </c:strRef>
          </c:cat>
          <c:val>
            <c:numRef>
              <c:f>Biofuel!$F$3:$F$14</c:f>
              <c:numCache>
                <c:formatCode>0.00_ </c:formatCode>
                <c:ptCount val="12"/>
                <c:pt idx="0">
                  <c:v>228.3475890415595</c:v>
                </c:pt>
                <c:pt idx="1">
                  <c:v>212.42442797807749</c:v>
                </c:pt>
                <c:pt idx="3">
                  <c:v>493.25966102567833</c:v>
                </c:pt>
                <c:pt idx="4">
                  <c:v>224.78508530659494</c:v>
                </c:pt>
                <c:pt idx="5">
                  <c:v>160.26954337595097</c:v>
                </c:pt>
                <c:pt idx="6">
                  <c:v>79.7318078857746</c:v>
                </c:pt>
                <c:pt idx="7">
                  <c:v>9.5174561427939821</c:v>
                </c:pt>
                <c:pt idx="9">
                  <c:v>394.48180208639752</c:v>
                </c:pt>
                <c:pt idx="10">
                  <c:v>40.495416118041561</c:v>
                </c:pt>
                <c:pt idx="11">
                  <c:v>16.559854545454531</c:v>
                </c:pt>
              </c:numCache>
            </c:numRef>
          </c:val>
        </c:ser>
        <c:axId val="158091520"/>
        <c:axId val="158101504"/>
      </c:barChart>
      <c:catAx>
        <c:axId val="158091520"/>
        <c:scaling>
          <c:orientation val="minMax"/>
        </c:scaling>
        <c:axPos val="b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158101504"/>
        <c:crossesAt val="0"/>
        <c:auto val="1"/>
        <c:lblAlgn val="ctr"/>
        <c:lblOffset val="100"/>
      </c:catAx>
      <c:valAx>
        <c:axId val="158101504"/>
        <c:scaling>
          <c:orientation val="minMax"/>
        </c:scaling>
        <c:axPos val="l"/>
        <c:majorGridlines/>
        <c:numFmt formatCode="0_ " sourceLinked="0"/>
        <c:tickLblPos val="nextTo"/>
        <c:crossAx val="158091520"/>
        <c:crossesAt val="1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'Coal-based'!$C$1:$C$2</c:f>
              <c:strCache>
                <c:ptCount val="1"/>
                <c:pt idx="0">
                  <c:v>WTW fossil energy use (MJ/km)</c:v>
                </c:pt>
              </c:strCache>
            </c:strRef>
          </c:tx>
          <c:dLbls>
            <c:showVal val="1"/>
          </c:dLbls>
          <c:errBars>
            <c:errBarType val="both"/>
            <c:errValType val="cust"/>
            <c:plus>
              <c:numRef>
                <c:f>'Coal-based'!$D$3:$D$14</c:f>
                <c:numCache>
                  <c:formatCode>General</c:formatCode>
                  <c:ptCount val="12"/>
                  <c:pt idx="0">
                    <c:v>0.16924569859900968</c:v>
                  </c:pt>
                  <c:pt idx="1">
                    <c:v>0.15277701956867534</c:v>
                  </c:pt>
                  <c:pt idx="3">
                    <c:v>0.92417205052731077</c:v>
                  </c:pt>
                  <c:pt idx="4">
                    <c:v>0.95085126887247029</c:v>
                  </c:pt>
                  <c:pt idx="5">
                    <c:v>0.6838663039388021</c:v>
                  </c:pt>
                  <c:pt idx="6">
                    <c:v>0.68575664905940137</c:v>
                  </c:pt>
                  <c:pt idx="8">
                    <c:v>1.6652986925578288</c:v>
                  </c:pt>
                  <c:pt idx="9">
                    <c:v>1.6337662337662338</c:v>
                  </c:pt>
                  <c:pt idx="10">
                    <c:v>1.3383888025909092</c:v>
                  </c:pt>
                  <c:pt idx="11">
                    <c:v>1.2143091565474238</c:v>
                  </c:pt>
                </c:numCache>
              </c:numRef>
            </c:plus>
            <c:minus>
              <c:numRef>
                <c:f>'Coal-based'!$E$3:$E$14</c:f>
                <c:numCache>
                  <c:formatCode>General</c:formatCode>
                  <c:ptCount val="12"/>
                  <c:pt idx="0">
                    <c:v>0.16924569859900968</c:v>
                  </c:pt>
                  <c:pt idx="1">
                    <c:v>0.15277701956867534</c:v>
                  </c:pt>
                  <c:pt idx="3">
                    <c:v>1.3092437382470234</c:v>
                  </c:pt>
                  <c:pt idx="4">
                    <c:v>1.3470392975693328</c:v>
                  </c:pt>
                  <c:pt idx="5">
                    <c:v>1.0861406003733913</c:v>
                  </c:pt>
                  <c:pt idx="6">
                    <c:v>1.0891429132119901</c:v>
                  </c:pt>
                  <c:pt idx="8">
                    <c:v>2.2203982567437719</c:v>
                  </c:pt>
                  <c:pt idx="9">
                    <c:v>2.1783549783549785</c:v>
                  </c:pt>
                  <c:pt idx="10">
                    <c:v>1.8960508036704542</c:v>
                  </c:pt>
                  <c:pt idx="11">
                    <c:v>1.7202713051088503</c:v>
                  </c:pt>
                </c:numCache>
              </c:numRef>
            </c:minus>
          </c:errBars>
          <c:cat>
            <c:strRef>
              <c:f>'Coal-based'!$B$3:$B$14</c:f>
              <c:strCache>
                <c:ptCount val="12"/>
                <c:pt idx="0">
                  <c:v>汽油车</c:v>
                </c:pt>
                <c:pt idx="1">
                  <c:v>柴油车</c:v>
                </c:pt>
                <c:pt idx="3">
                  <c:v>甲醇（煤基）汽车</c:v>
                </c:pt>
                <c:pt idx="4">
                  <c:v>DME（煤基）汽车</c:v>
                </c:pt>
                <c:pt idx="5">
                  <c:v>CTL（煤基）汽车</c:v>
                </c:pt>
                <c:pt idx="6">
                  <c:v>ICTL（煤基）汽车</c:v>
                </c:pt>
                <c:pt idx="8">
                  <c:v>甲醇（煤基+CCS）汽车</c:v>
                </c:pt>
                <c:pt idx="9">
                  <c:v>DME（煤基+CCS）汽车</c:v>
                </c:pt>
                <c:pt idx="10">
                  <c:v>CTL（煤基+CCS）汽车</c:v>
                </c:pt>
                <c:pt idx="11">
                  <c:v>ICTL（煤基+CCS）汽车</c:v>
                </c:pt>
              </c:strCache>
            </c:strRef>
          </c:cat>
          <c:val>
            <c:numRef>
              <c:f>'Coal-based'!$C$3:$C$14</c:f>
              <c:numCache>
                <c:formatCode>0.00_ </c:formatCode>
                <c:ptCount val="12"/>
                <c:pt idx="0">
                  <c:v>3.2156682733811834</c:v>
                </c:pt>
                <c:pt idx="1">
                  <c:v>2.9027633718048311</c:v>
                </c:pt>
                <c:pt idx="3">
                  <c:v>5.2369749529880938</c:v>
                </c:pt>
                <c:pt idx="4">
                  <c:v>5.3881571902773313</c:v>
                </c:pt>
                <c:pt idx="5">
                  <c:v>6.1547967354492181</c:v>
                </c:pt>
                <c:pt idx="6">
                  <c:v>6.1718098415346114</c:v>
                </c:pt>
                <c:pt idx="8">
                  <c:v>6.6611947702313152</c:v>
                </c:pt>
                <c:pt idx="9">
                  <c:v>6.535064935064935</c:v>
                </c:pt>
                <c:pt idx="10">
                  <c:v>7.5842032146818168</c:v>
                </c:pt>
                <c:pt idx="11">
                  <c:v>6.8810852204354003</c:v>
                </c:pt>
              </c:numCache>
            </c:numRef>
          </c:val>
        </c:ser>
        <c:axId val="158192000"/>
        <c:axId val="158193536"/>
      </c:barChart>
      <c:catAx>
        <c:axId val="158192000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8193536"/>
        <c:crosses val="autoZero"/>
        <c:auto val="1"/>
        <c:lblAlgn val="ctr"/>
        <c:lblOffset val="100"/>
      </c:catAx>
      <c:valAx>
        <c:axId val="158193536"/>
        <c:scaling>
          <c:orientation val="minMax"/>
        </c:scaling>
        <c:axPos val="l"/>
        <c:majorGridlines/>
        <c:numFmt formatCode="0.0_ " sourceLinked="0"/>
        <c:tickLblPos val="nextTo"/>
        <c:crossAx val="158192000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'Coal-based'!$F$1:$F$2</c:f>
              <c:strCache>
                <c:ptCount val="1"/>
                <c:pt idx="0">
                  <c:v>WTW GHG emission (g CO2e/km)</c:v>
                </c:pt>
              </c:strCache>
            </c:strRef>
          </c:tx>
          <c:dLbls>
            <c:showVal val="1"/>
          </c:dLbls>
          <c:errBars>
            <c:errBarType val="both"/>
            <c:errValType val="cust"/>
            <c:plus>
              <c:numRef>
                <c:f>'Coal-based'!$G$3:$G$14</c:f>
                <c:numCache>
                  <c:formatCode>General</c:formatCode>
                  <c:ptCount val="12"/>
                  <c:pt idx="0">
                    <c:v>12.01829416008208</c:v>
                  </c:pt>
                  <c:pt idx="1">
                    <c:v>11.180233051477764</c:v>
                  </c:pt>
                  <c:pt idx="3">
                    <c:v>107.72186387828356</c:v>
                  </c:pt>
                  <c:pt idx="4">
                    <c:v>110.75781818181817</c:v>
                  </c:pt>
                  <c:pt idx="5">
                    <c:v>51.453467574639909</c:v>
                  </c:pt>
                  <c:pt idx="6">
                    <c:v>73.726424242424258</c:v>
                  </c:pt>
                  <c:pt idx="8">
                    <c:v>100.87513524195195</c:v>
                  </c:pt>
                  <c:pt idx="9">
                    <c:v>111.39018181818182</c:v>
                  </c:pt>
                  <c:pt idx="10">
                    <c:v>60.468802101654532</c:v>
                  </c:pt>
                  <c:pt idx="11">
                    <c:v>101.43381818181821</c:v>
                  </c:pt>
                </c:numCache>
              </c:numRef>
            </c:plus>
            <c:minus>
              <c:numRef>
                <c:f>'Coal-based'!$H$3:$H$14</c:f>
                <c:numCache>
                  <c:formatCode>General</c:formatCode>
                  <c:ptCount val="12"/>
                  <c:pt idx="0">
                    <c:v>12.01829416008208</c:v>
                  </c:pt>
                  <c:pt idx="1">
                    <c:v>11.180233051477764</c:v>
                  </c:pt>
                  <c:pt idx="3">
                    <c:v>152.60597382756836</c:v>
                  </c:pt>
                  <c:pt idx="4">
                    <c:v>156.90690909090907</c:v>
                  </c:pt>
                  <c:pt idx="5">
                    <c:v>81.720213206781025</c:v>
                  </c:pt>
                  <c:pt idx="6">
                    <c:v>117.0949090909091</c:v>
                  </c:pt>
                  <c:pt idx="8">
                    <c:v>134.5001803226026</c:v>
                  </c:pt>
                  <c:pt idx="9">
                    <c:v>148.52024242424241</c:v>
                  </c:pt>
                  <c:pt idx="10">
                    <c:v>85.664136310677222</c:v>
                  </c:pt>
                  <c:pt idx="11">
                    <c:v>143.69790909090909</c:v>
                  </c:pt>
                </c:numCache>
              </c:numRef>
            </c:minus>
          </c:errBars>
          <c:cat>
            <c:strRef>
              <c:f>'Coal-based'!$B$3:$B$14</c:f>
              <c:strCache>
                <c:ptCount val="12"/>
                <c:pt idx="0">
                  <c:v>汽油车</c:v>
                </c:pt>
                <c:pt idx="1">
                  <c:v>柴油车</c:v>
                </c:pt>
                <c:pt idx="3">
                  <c:v>甲醇（煤基）汽车</c:v>
                </c:pt>
                <c:pt idx="4">
                  <c:v>DME（煤基）汽车</c:v>
                </c:pt>
                <c:pt idx="5">
                  <c:v>CTL（煤基）汽车</c:v>
                </c:pt>
                <c:pt idx="6">
                  <c:v>ICTL（煤基）汽车</c:v>
                </c:pt>
                <c:pt idx="8">
                  <c:v>甲醇（煤基+CCS）汽车</c:v>
                </c:pt>
                <c:pt idx="9">
                  <c:v>DME（煤基+CCS）汽车</c:v>
                </c:pt>
                <c:pt idx="10">
                  <c:v>CTL（煤基+CCS）汽车</c:v>
                </c:pt>
                <c:pt idx="11">
                  <c:v>ICTL（煤基+CCS）汽车</c:v>
                </c:pt>
              </c:strCache>
            </c:strRef>
          </c:cat>
          <c:val>
            <c:numRef>
              <c:f>'Coal-based'!$F$3:$F$14</c:f>
              <c:numCache>
                <c:formatCode>0.00_ </c:formatCode>
                <c:ptCount val="12"/>
                <c:pt idx="0">
                  <c:v>228.3475890415595</c:v>
                </c:pt>
                <c:pt idx="1">
                  <c:v>212.42442797807749</c:v>
                </c:pt>
                <c:pt idx="3">
                  <c:v>610.42389531027345</c:v>
                </c:pt>
                <c:pt idx="4">
                  <c:v>627.62763636363627</c:v>
                </c:pt>
                <c:pt idx="5">
                  <c:v>463.08120817175916</c:v>
                </c:pt>
                <c:pt idx="6">
                  <c:v>663.53781818181824</c:v>
                </c:pt>
                <c:pt idx="8">
                  <c:v>403.50054096780781</c:v>
                </c:pt>
                <c:pt idx="9">
                  <c:v>445.56072727272726</c:v>
                </c:pt>
                <c:pt idx="10">
                  <c:v>342.65654524270894</c:v>
                </c:pt>
                <c:pt idx="11">
                  <c:v>574.79163636363637</c:v>
                </c:pt>
              </c:numCache>
            </c:numRef>
          </c:val>
        </c:ser>
        <c:axId val="158226304"/>
        <c:axId val="158227840"/>
      </c:barChart>
      <c:catAx>
        <c:axId val="158226304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8227840"/>
        <c:crosses val="autoZero"/>
        <c:auto val="1"/>
        <c:lblAlgn val="ctr"/>
        <c:lblOffset val="100"/>
      </c:catAx>
      <c:valAx>
        <c:axId val="158227840"/>
        <c:scaling>
          <c:orientation val="minMax"/>
        </c:scaling>
        <c:axPos val="l"/>
        <c:majorGridlines/>
        <c:numFmt formatCode="0_ " sourceLinked="0"/>
        <c:tickLblPos val="nextTo"/>
        <c:crossAx val="158226304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EV!$C$1:$C$2</c:f>
              <c:strCache>
                <c:ptCount val="1"/>
                <c:pt idx="0">
                  <c:v>WTW fossil energy use (MJ/km)</c:v>
                </c:pt>
              </c:strCache>
            </c:strRef>
          </c:tx>
          <c:dLbls>
            <c:dLbl>
              <c:idx val="5"/>
              <c:layout>
                <c:manualLayout>
                  <c:x val="0"/>
                  <c:y val="-5.1708217913204124E-2"/>
                </c:manualLayout>
              </c:layout>
              <c:showVal val="1"/>
            </c:dLbl>
            <c:dLbl>
              <c:idx val="9"/>
              <c:layout>
                <c:manualLayout>
                  <c:x val="1.6792609030642082E-3"/>
                  <c:y val="-3.3240997229917052E-2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EV!$D$3:$D$14</c:f>
                <c:numCache>
                  <c:formatCode>General</c:formatCode>
                  <c:ptCount val="12"/>
                  <c:pt idx="0">
                    <c:v>0.16924569859900968</c:v>
                  </c:pt>
                  <c:pt idx="1">
                    <c:v>0.15277701956867534</c:v>
                  </c:pt>
                  <c:pt idx="3">
                    <c:v>0.20353727374959418</c:v>
                  </c:pt>
                  <c:pt idx="5">
                    <c:v>0.25445666158030356</c:v>
                  </c:pt>
                  <c:pt idx="6">
                    <c:v>0.32741912844402715</c:v>
                  </c:pt>
                  <c:pt idx="7">
                    <c:v>0.20983340183978341</c:v>
                  </c:pt>
                  <c:pt idx="8">
                    <c:v>5.0320000000000009E-3</c:v>
                  </c:pt>
                  <c:pt idx="9">
                    <c:v>0</c:v>
                  </c:pt>
                  <c:pt idx="10">
                    <c:v>6.0703492063492069E-3</c:v>
                  </c:pt>
                  <c:pt idx="11">
                    <c:v>0.45255932424820922</c:v>
                  </c:pt>
                </c:numCache>
              </c:numRef>
            </c:plus>
            <c:minus>
              <c:numRef>
                <c:f>EV!$E$3:$E$14</c:f>
                <c:numCache>
                  <c:formatCode>General</c:formatCode>
                  <c:ptCount val="12"/>
                  <c:pt idx="0">
                    <c:v>0.16924569859900968</c:v>
                  </c:pt>
                  <c:pt idx="1">
                    <c:v>0.15277701956867534</c:v>
                  </c:pt>
                  <c:pt idx="3">
                    <c:v>0.20353727374959416</c:v>
                  </c:pt>
                  <c:pt idx="5">
                    <c:v>0.25445666158030356</c:v>
                  </c:pt>
                  <c:pt idx="6">
                    <c:v>0.3274191284440271</c:v>
                  </c:pt>
                  <c:pt idx="7">
                    <c:v>0.20983340183978344</c:v>
                  </c:pt>
                  <c:pt idx="8">
                    <c:v>5.032E-3</c:v>
                  </c:pt>
                  <c:pt idx="9">
                    <c:v>0</c:v>
                  </c:pt>
                  <c:pt idx="10">
                    <c:v>6.070349206349206E-3</c:v>
                  </c:pt>
                  <c:pt idx="11">
                    <c:v>0.45255932424820922</c:v>
                  </c:pt>
                </c:numCache>
              </c:numRef>
            </c:minus>
          </c:errBars>
          <c:cat>
            <c:strRef>
              <c:f>EV!$B$3:$B$14</c:f>
              <c:strCache>
                <c:ptCount val="12"/>
                <c:pt idx="0">
                  <c:v>汽油车</c:v>
                </c:pt>
                <c:pt idx="1">
                  <c:v>柴油车</c:v>
                </c:pt>
                <c:pt idx="3">
                  <c:v>纯电动汽车（网电）</c:v>
                </c:pt>
                <c:pt idx="5">
                  <c:v>纯电动汽车（煤电）</c:v>
                </c:pt>
                <c:pt idx="6">
                  <c:v>纯电动汽车（油电）</c:v>
                </c:pt>
                <c:pt idx="7">
                  <c:v>纯电动汽车（气电）</c:v>
                </c:pt>
                <c:pt idx="8">
                  <c:v>纯电动汽车（核电）</c:v>
                </c:pt>
                <c:pt idx="9">
                  <c:v>纯电动汽车（大水电）</c:v>
                </c:pt>
                <c:pt idx="10">
                  <c:v>纯电动汽车（生物质电）</c:v>
                </c:pt>
                <c:pt idx="11">
                  <c:v>纯电动汽车（煤电IGCC+CCS）</c:v>
                </c:pt>
              </c:strCache>
            </c:strRef>
          </c:cat>
          <c:val>
            <c:numRef>
              <c:f>EV!$C$3:$C$14</c:f>
              <c:numCache>
                <c:formatCode>0.00_ </c:formatCode>
                <c:ptCount val="12"/>
                <c:pt idx="0">
                  <c:v>3.2156682733811834</c:v>
                </c:pt>
                <c:pt idx="1">
                  <c:v>2.9027633718048311</c:v>
                </c:pt>
                <c:pt idx="3">
                  <c:v>1.8318354637463474</c:v>
                </c:pt>
                <c:pt idx="5">
                  <c:v>2.2901099542227317</c:v>
                </c:pt>
                <c:pt idx="6">
                  <c:v>2.9467721559962441</c:v>
                </c:pt>
                <c:pt idx="7">
                  <c:v>1.8885006165580507</c:v>
                </c:pt>
                <c:pt idx="8">
                  <c:v>4.5288000000000002E-2</c:v>
                </c:pt>
                <c:pt idx="9">
                  <c:v>0</c:v>
                </c:pt>
                <c:pt idx="10">
                  <c:v>5.4633142857142859E-2</c:v>
                </c:pt>
                <c:pt idx="11">
                  <c:v>2.5645028374065189</c:v>
                </c:pt>
              </c:numCache>
            </c:numRef>
          </c:val>
        </c:ser>
        <c:axId val="158351360"/>
        <c:axId val="158352896"/>
      </c:barChart>
      <c:catAx>
        <c:axId val="158351360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8352896"/>
        <c:crosses val="autoZero"/>
        <c:auto val="1"/>
        <c:lblAlgn val="ctr"/>
        <c:lblOffset val="100"/>
      </c:catAx>
      <c:valAx>
        <c:axId val="158352896"/>
        <c:scaling>
          <c:orientation val="minMax"/>
        </c:scaling>
        <c:axPos val="l"/>
        <c:majorGridlines/>
        <c:numFmt formatCode="0.0_ " sourceLinked="0"/>
        <c:tickLblPos val="nextTo"/>
        <c:crossAx val="158351360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EV!$F$1:$F$2</c:f>
              <c:strCache>
                <c:ptCount val="1"/>
                <c:pt idx="0">
                  <c:v>WTW GHG emission (g CO2e/km)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3.8834951456310801E-2"/>
                </c:manualLayout>
              </c:layout>
              <c:showVal val="1"/>
            </c:dLbl>
            <c:dLbl>
              <c:idx val="1"/>
              <c:layout>
                <c:manualLayout>
                  <c:x val="1.6750418760469101E-3"/>
                  <c:y val="-2.9126213592233007E-2"/>
                </c:manualLayout>
              </c:layout>
              <c:showVal val="1"/>
            </c:dLbl>
            <c:dLbl>
              <c:idx val="2"/>
              <c:layout>
                <c:manualLayout>
                  <c:x val="5.0251256281406975E-3"/>
                  <c:y val="-4.2071197411003312E-2"/>
                </c:manualLayout>
              </c:layout>
              <c:showVal val="1"/>
            </c:dLbl>
            <c:dLbl>
              <c:idx val="3"/>
              <c:layout>
                <c:manualLayout>
                  <c:x val="5.0251256281406975E-3"/>
                  <c:y val="-2.9126213592233007E-2"/>
                </c:manualLayout>
              </c:layout>
              <c:showVal val="1"/>
            </c:dLbl>
            <c:dLbl>
              <c:idx val="4"/>
              <c:layout>
                <c:manualLayout>
                  <c:x val="1.6750418760469101E-3"/>
                  <c:y val="-3.5598705501618151E-2"/>
                </c:manualLayout>
              </c:layout>
              <c:showVal val="1"/>
            </c:dLbl>
            <c:dLbl>
              <c:idx val="5"/>
              <c:layout>
                <c:manualLayout>
                  <c:x val="0"/>
                  <c:y val="-2.2653721682847999E-2"/>
                </c:manualLayout>
              </c:layout>
              <c:showVal val="1"/>
            </c:dLbl>
            <c:dLbl>
              <c:idx val="9"/>
              <c:layout>
                <c:manualLayout>
                  <c:x val="0"/>
                  <c:y val="-1.9417475728155376E-2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EV!$G$3:$G$14</c:f>
                <c:numCache>
                  <c:formatCode>General</c:formatCode>
                  <c:ptCount val="12"/>
                  <c:pt idx="0">
                    <c:v>12.01829416008208</c:v>
                  </c:pt>
                  <c:pt idx="1">
                    <c:v>11.180233051477764</c:v>
                  </c:pt>
                  <c:pt idx="3">
                    <c:v>18.006553439714509</c:v>
                  </c:pt>
                  <c:pt idx="5">
                    <c:v>23.127874333396306</c:v>
                  </c:pt>
                  <c:pt idx="6">
                    <c:v>24.812961930095305</c:v>
                  </c:pt>
                  <c:pt idx="7">
                    <c:v>12.496450237193555</c:v>
                  </c:pt>
                  <c:pt idx="8">
                    <c:v>0.51917460317460318</c:v>
                  </c:pt>
                  <c:pt idx="9">
                    <c:v>0</c:v>
                  </c:pt>
                  <c:pt idx="10">
                    <c:v>0.46326349206349204</c:v>
                  </c:pt>
                  <c:pt idx="11">
                    <c:v>11.938170995806258</c:v>
                  </c:pt>
                </c:numCache>
              </c:numRef>
            </c:plus>
            <c:minus>
              <c:numRef>
                <c:f>EV!$H$3:$H$14</c:f>
                <c:numCache>
                  <c:formatCode>General</c:formatCode>
                  <c:ptCount val="12"/>
                  <c:pt idx="0">
                    <c:v>12.01829416008208</c:v>
                  </c:pt>
                  <c:pt idx="1">
                    <c:v>11.180233051477764</c:v>
                  </c:pt>
                  <c:pt idx="3">
                    <c:v>18.006553439714509</c:v>
                  </c:pt>
                  <c:pt idx="5">
                    <c:v>23.127874333396303</c:v>
                  </c:pt>
                  <c:pt idx="6">
                    <c:v>24.812961930095305</c:v>
                  </c:pt>
                  <c:pt idx="7">
                    <c:v>12.496450237193553</c:v>
                  </c:pt>
                  <c:pt idx="8">
                    <c:v>0.51917460317460318</c:v>
                  </c:pt>
                  <c:pt idx="9">
                    <c:v>0</c:v>
                  </c:pt>
                  <c:pt idx="10">
                    <c:v>0.46326349206349204</c:v>
                  </c:pt>
                  <c:pt idx="11">
                    <c:v>11.938170995806258</c:v>
                  </c:pt>
                </c:numCache>
              </c:numRef>
            </c:minus>
          </c:errBars>
          <c:cat>
            <c:strRef>
              <c:f>EV!$B$3:$B$14</c:f>
              <c:strCache>
                <c:ptCount val="12"/>
                <c:pt idx="0">
                  <c:v>汽油车</c:v>
                </c:pt>
                <c:pt idx="1">
                  <c:v>柴油车</c:v>
                </c:pt>
                <c:pt idx="3">
                  <c:v>纯电动汽车（网电）</c:v>
                </c:pt>
                <c:pt idx="5">
                  <c:v>纯电动汽车（煤电）</c:v>
                </c:pt>
                <c:pt idx="6">
                  <c:v>纯电动汽车（油电）</c:v>
                </c:pt>
                <c:pt idx="7">
                  <c:v>纯电动汽车（气电）</c:v>
                </c:pt>
                <c:pt idx="8">
                  <c:v>纯电动汽车（核电）</c:v>
                </c:pt>
                <c:pt idx="9">
                  <c:v>纯电动汽车（大水电）</c:v>
                </c:pt>
                <c:pt idx="10">
                  <c:v>纯电动汽车（生物质电）</c:v>
                </c:pt>
                <c:pt idx="11">
                  <c:v>纯电动汽车（煤电IGCC+CCS）</c:v>
                </c:pt>
              </c:strCache>
            </c:strRef>
          </c:cat>
          <c:val>
            <c:numRef>
              <c:f>EV!$F$3:$F$14</c:f>
              <c:numCache>
                <c:formatCode>0.00_ </c:formatCode>
                <c:ptCount val="12"/>
                <c:pt idx="0">
                  <c:v>228.3475890415595</c:v>
                </c:pt>
                <c:pt idx="1">
                  <c:v>212.42442797807749</c:v>
                </c:pt>
                <c:pt idx="3">
                  <c:v>162.05898095743058</c:v>
                </c:pt>
                <c:pt idx="5">
                  <c:v>208.15086900056673</c:v>
                </c:pt>
                <c:pt idx="6">
                  <c:v>223.31665737085774</c:v>
                </c:pt>
                <c:pt idx="7">
                  <c:v>112.46805213474198</c:v>
                </c:pt>
                <c:pt idx="8">
                  <c:v>4.6725714285714286</c:v>
                </c:pt>
                <c:pt idx="9">
                  <c:v>3.5942857142857143</c:v>
                </c:pt>
                <c:pt idx="10">
                  <c:v>4.1693714285714281</c:v>
                </c:pt>
                <c:pt idx="11">
                  <c:v>67.649635642902126</c:v>
                </c:pt>
              </c:numCache>
            </c:numRef>
          </c:val>
        </c:ser>
        <c:axId val="158381568"/>
        <c:axId val="158383104"/>
      </c:barChart>
      <c:catAx>
        <c:axId val="15838156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8383104"/>
        <c:crosses val="autoZero"/>
        <c:auto val="1"/>
        <c:lblAlgn val="ctr"/>
        <c:lblOffset val="100"/>
      </c:catAx>
      <c:valAx>
        <c:axId val="158383104"/>
        <c:scaling>
          <c:orientation val="minMax"/>
        </c:scaling>
        <c:axPos val="l"/>
        <c:majorGridlines/>
        <c:numFmt formatCode="0_ " sourceLinked="0"/>
        <c:tickLblPos val="nextTo"/>
        <c:crossAx val="158381568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>
        <c:manualLayout>
          <c:layoutTarget val="inner"/>
          <c:xMode val="edge"/>
          <c:yMode val="edge"/>
          <c:x val="8.6464370570814575E-2"/>
          <c:y val="0.1431209874982558"/>
          <c:w val="0.88991781270276749"/>
          <c:h val="0.42216519957287602"/>
        </c:manualLayout>
      </c:layout>
      <c:barChart>
        <c:barDir val="col"/>
        <c:grouping val="clustered"/>
        <c:ser>
          <c:idx val="0"/>
          <c:order val="0"/>
          <c:tx>
            <c:strRef>
              <c:f>total!$D$36:$D$37</c:f>
              <c:strCache>
                <c:ptCount val="1"/>
                <c:pt idx="0">
                  <c:v>WTW fossil energy use (MJ/km)</c:v>
                </c:pt>
              </c:strCache>
            </c:strRef>
          </c:tx>
          <c:dLbls>
            <c:dLbl>
              <c:idx val="2"/>
              <c:layout>
                <c:manualLayout>
                  <c:x val="4.8959602031682127E-3"/>
                  <c:y val="-3.0690537084399092E-2"/>
                </c:manualLayout>
              </c:layout>
              <c:showVal val="1"/>
            </c:dLbl>
            <c:dLbl>
              <c:idx val="4"/>
              <c:layout>
                <c:manualLayout>
                  <c:x val="3.2635467813722452E-2"/>
                  <c:y val="-3.8361806019236995E-3"/>
                </c:manualLayout>
              </c:layout>
              <c:showVal val="1"/>
            </c:dLbl>
            <c:dLbl>
              <c:idx val="5"/>
              <c:layout>
                <c:manualLayout>
                  <c:x val="-1.7177701017650301E-2"/>
                  <c:y val="0"/>
                </c:manualLayout>
              </c:layout>
              <c:showVal val="1"/>
            </c:dLbl>
            <c:dLbl>
              <c:idx val="6"/>
              <c:layout>
                <c:manualLayout>
                  <c:x val="3.4355402035300582E-3"/>
                  <c:y val="-1.5534845146951083E-2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total!$E$38:$E$80</c:f>
                <c:numCache>
                  <c:formatCode>General</c:formatCode>
                  <c:ptCount val="43"/>
                  <c:pt idx="0">
                    <c:v>0.16924569859900968</c:v>
                  </c:pt>
                  <c:pt idx="1">
                    <c:v>0.15277701956867534</c:v>
                  </c:pt>
                  <c:pt idx="4">
                    <c:v>0.16796176132874041</c:v>
                  </c:pt>
                  <c:pt idx="5">
                    <c:v>0.35213386091432469</c:v>
                  </c:pt>
                  <c:pt idx="6">
                    <c:v>0.16741667576766928</c:v>
                  </c:pt>
                  <c:pt idx="7">
                    <c:v>0.16567992104962392</c:v>
                  </c:pt>
                  <c:pt idx="8">
                    <c:v>0.16769030365713938</c:v>
                  </c:pt>
                  <c:pt idx="9">
                    <c:v>0.86225450875231702</c:v>
                  </c:pt>
                  <c:pt idx="12">
                    <c:v>0.92417205052731077</c:v>
                  </c:pt>
                  <c:pt idx="13">
                    <c:v>0.95085126887247029</c:v>
                  </c:pt>
                  <c:pt idx="14">
                    <c:v>0.6838663039388021</c:v>
                  </c:pt>
                  <c:pt idx="15">
                    <c:v>0.68575664905940137</c:v>
                  </c:pt>
                  <c:pt idx="17">
                    <c:v>1.6652986925578288</c:v>
                  </c:pt>
                  <c:pt idx="18">
                    <c:v>1.6337662337662338</c:v>
                  </c:pt>
                  <c:pt idx="19">
                    <c:v>1.3383888025909092</c:v>
                  </c:pt>
                  <c:pt idx="20">
                    <c:v>1.2143091565474238</c:v>
                  </c:pt>
                  <c:pt idx="23">
                    <c:v>0.20353727374959418</c:v>
                  </c:pt>
                  <c:pt idx="25">
                    <c:v>0.25445666158030356</c:v>
                  </c:pt>
                  <c:pt idx="26">
                    <c:v>0.32741912844402715</c:v>
                  </c:pt>
                  <c:pt idx="27">
                    <c:v>0.20983340183978341</c:v>
                  </c:pt>
                  <c:pt idx="28">
                    <c:v>5.0320000000000009E-3</c:v>
                  </c:pt>
                  <c:pt idx="29">
                    <c:v>0</c:v>
                  </c:pt>
                  <c:pt idx="30">
                    <c:v>6.0703492063492069E-3</c:v>
                  </c:pt>
                  <c:pt idx="31">
                    <c:v>0.45255932424820922</c:v>
                  </c:pt>
                  <c:pt idx="34">
                    <c:v>0.40031691847548456</c:v>
                  </c:pt>
                  <c:pt idx="35">
                    <c:v>0.22770210286958875</c:v>
                  </c:pt>
                  <c:pt idx="36">
                    <c:v>2.5500831975581639</c:v>
                  </c:pt>
                  <c:pt idx="37">
                    <c:v>0.10380947994344818</c:v>
                  </c:pt>
                  <c:pt idx="38">
                    <c:v>5.747870953957377E-2</c:v>
                  </c:pt>
                  <c:pt idx="40">
                    <c:v>0.24676284386868683</c:v>
                  </c:pt>
                  <c:pt idx="41">
                    <c:v>5.4802537642004649E-2</c:v>
                  </c:pt>
                  <c:pt idx="42">
                    <c:v>3.3165454545454547E-2</c:v>
                  </c:pt>
                </c:numCache>
              </c:numRef>
            </c:plus>
            <c:minus>
              <c:numRef>
                <c:f>total!$F$38:$F$80</c:f>
                <c:numCache>
                  <c:formatCode>General</c:formatCode>
                  <c:ptCount val="43"/>
                  <c:pt idx="0">
                    <c:v>0.16924569859900968</c:v>
                  </c:pt>
                  <c:pt idx="1">
                    <c:v>0.15277701956867534</c:v>
                  </c:pt>
                  <c:pt idx="4">
                    <c:v>0.16796176132874041</c:v>
                  </c:pt>
                  <c:pt idx="5">
                    <c:v>0.35213386091432469</c:v>
                  </c:pt>
                  <c:pt idx="6">
                    <c:v>0.16741667576766925</c:v>
                  </c:pt>
                  <c:pt idx="7">
                    <c:v>0.16567992104962392</c:v>
                  </c:pt>
                  <c:pt idx="8">
                    <c:v>0.16769030365713938</c:v>
                  </c:pt>
                  <c:pt idx="9">
                    <c:v>0.86225450875231702</c:v>
                  </c:pt>
                  <c:pt idx="12">
                    <c:v>1.3092437382470234</c:v>
                  </c:pt>
                  <c:pt idx="13">
                    <c:v>1.3470392975693328</c:v>
                  </c:pt>
                  <c:pt idx="14">
                    <c:v>1.0861406003733913</c:v>
                  </c:pt>
                  <c:pt idx="15">
                    <c:v>1.0891429132119901</c:v>
                  </c:pt>
                  <c:pt idx="17">
                    <c:v>2.2203982567437719</c:v>
                  </c:pt>
                  <c:pt idx="18">
                    <c:v>2.1783549783549785</c:v>
                  </c:pt>
                  <c:pt idx="19">
                    <c:v>1.8960508036704542</c:v>
                  </c:pt>
                  <c:pt idx="20">
                    <c:v>1.7202713051088503</c:v>
                  </c:pt>
                  <c:pt idx="23">
                    <c:v>0.20353727374959416</c:v>
                  </c:pt>
                  <c:pt idx="25">
                    <c:v>0.25445666158030356</c:v>
                  </c:pt>
                  <c:pt idx="26">
                    <c:v>0.3274191284440271</c:v>
                  </c:pt>
                  <c:pt idx="27">
                    <c:v>0.20983340183978344</c:v>
                  </c:pt>
                  <c:pt idx="28">
                    <c:v>5.032E-3</c:v>
                  </c:pt>
                  <c:pt idx="29">
                    <c:v>0</c:v>
                  </c:pt>
                  <c:pt idx="30">
                    <c:v>6.070349206349206E-3</c:v>
                  </c:pt>
                  <c:pt idx="31">
                    <c:v>0.45255932424820922</c:v>
                  </c:pt>
                  <c:pt idx="34">
                    <c:v>0.90071306656984018</c:v>
                  </c:pt>
                  <c:pt idx="35">
                    <c:v>0.51232973145657468</c:v>
                  </c:pt>
                  <c:pt idx="36">
                    <c:v>0.42501386625969406</c:v>
                  </c:pt>
                  <c:pt idx="37">
                    <c:v>0.10380947994344818</c:v>
                  </c:pt>
                  <c:pt idx="38">
                    <c:v>5.7478709539573763E-2</c:v>
                  </c:pt>
                  <c:pt idx="40">
                    <c:v>0.95179954063636341</c:v>
                  </c:pt>
                  <c:pt idx="41">
                    <c:v>5.4802537642004649E-2</c:v>
                  </c:pt>
                  <c:pt idx="42">
                    <c:v>3.3165454545454547E-2</c:v>
                  </c:pt>
                </c:numCache>
              </c:numRef>
            </c:minus>
          </c:errBars>
          <c:cat>
            <c:strRef>
              <c:f>total!$C$38:$C$80</c:f>
              <c:strCache>
                <c:ptCount val="43"/>
                <c:pt idx="0">
                  <c:v>汽油车</c:v>
                </c:pt>
                <c:pt idx="1">
                  <c:v>柴油车</c:v>
                </c:pt>
                <c:pt idx="4">
                  <c:v>LPG车</c:v>
                </c:pt>
                <c:pt idx="5">
                  <c:v>CNG车</c:v>
                </c:pt>
                <c:pt idx="6">
                  <c:v>LNG车(海外进口)</c:v>
                </c:pt>
                <c:pt idx="7">
                  <c:v>LNG车(井口液化)</c:v>
                </c:pt>
                <c:pt idx="8">
                  <c:v>LNG车(管道气液化)</c:v>
                </c:pt>
                <c:pt idx="9">
                  <c:v>GTL车</c:v>
                </c:pt>
                <c:pt idx="12">
                  <c:v>甲醇（煤基）汽车</c:v>
                </c:pt>
                <c:pt idx="13">
                  <c:v>DME（煤基）汽车</c:v>
                </c:pt>
                <c:pt idx="14">
                  <c:v>CTL（煤基）汽车</c:v>
                </c:pt>
                <c:pt idx="15">
                  <c:v>ICTL（煤基）汽车</c:v>
                </c:pt>
                <c:pt idx="17">
                  <c:v>甲醇（煤基+CCS）汽车</c:v>
                </c:pt>
                <c:pt idx="18">
                  <c:v>DME（煤基+CCS）汽车</c:v>
                </c:pt>
                <c:pt idx="19">
                  <c:v>CTL（煤基+CCS）汽车</c:v>
                </c:pt>
                <c:pt idx="20">
                  <c:v>ICTL（煤基+CCS）汽车</c:v>
                </c:pt>
                <c:pt idx="23">
                  <c:v>纯电动汽车（网电）</c:v>
                </c:pt>
                <c:pt idx="25">
                  <c:v>纯电动汽车（煤电）</c:v>
                </c:pt>
                <c:pt idx="26">
                  <c:v>纯电动汽车（油电）</c:v>
                </c:pt>
                <c:pt idx="27">
                  <c:v>纯电动汽车（气电）</c:v>
                </c:pt>
                <c:pt idx="28">
                  <c:v>纯电动汽车（核电）</c:v>
                </c:pt>
                <c:pt idx="29">
                  <c:v>纯电动汽车（大水电）</c:v>
                </c:pt>
                <c:pt idx="30">
                  <c:v>纯电动汽车（生物质电）</c:v>
                </c:pt>
                <c:pt idx="31">
                  <c:v>纯电动汽车（煤电IGCC+CCS）</c:v>
                </c:pt>
                <c:pt idx="34">
                  <c:v>玉米乙醇汽车</c:v>
                </c:pt>
                <c:pt idx="35">
                  <c:v>木薯乙醇汽车</c:v>
                </c:pt>
                <c:pt idx="36">
                  <c:v>甜高粱乙醇汽车</c:v>
                </c:pt>
                <c:pt idx="37">
                  <c:v>木本二代生物燃料汽车</c:v>
                </c:pt>
                <c:pt idx="38">
                  <c:v>草本二代生物燃料汽车</c:v>
                </c:pt>
                <c:pt idx="40">
                  <c:v>废弃油生物柴油汽车</c:v>
                </c:pt>
                <c:pt idx="41">
                  <c:v>小桐子生物柴油汽车</c:v>
                </c:pt>
                <c:pt idx="42">
                  <c:v>费托生物柴油汽车</c:v>
                </c:pt>
              </c:strCache>
            </c:strRef>
          </c:cat>
          <c:val>
            <c:numRef>
              <c:f>total!$D$38:$D$80</c:f>
              <c:numCache>
                <c:formatCode>0.0_ </c:formatCode>
                <c:ptCount val="43"/>
                <c:pt idx="0">
                  <c:v>3.2156682733811834</c:v>
                </c:pt>
                <c:pt idx="1">
                  <c:v>2.9027633718048311</c:v>
                </c:pt>
                <c:pt idx="4">
                  <c:v>3.1912734652460677</c:v>
                </c:pt>
                <c:pt idx="5">
                  <c:v>3.1692047482289221</c:v>
                </c:pt>
                <c:pt idx="6">
                  <c:v>3.1809168395857159</c:v>
                </c:pt>
                <c:pt idx="7">
                  <c:v>3.1479184999428544</c:v>
                </c:pt>
                <c:pt idx="8">
                  <c:v>3.1861157694856477</c:v>
                </c:pt>
                <c:pt idx="9">
                  <c:v>4.8861088829297961</c:v>
                </c:pt>
                <c:pt idx="12">
                  <c:v>5.2369749529880938</c:v>
                </c:pt>
                <c:pt idx="13">
                  <c:v>5.3881571902773313</c:v>
                </c:pt>
                <c:pt idx="14">
                  <c:v>6.1547967354492181</c:v>
                </c:pt>
                <c:pt idx="15">
                  <c:v>6.1718098415346114</c:v>
                </c:pt>
                <c:pt idx="17">
                  <c:v>6.6611947702313152</c:v>
                </c:pt>
                <c:pt idx="18">
                  <c:v>6.535064935064935</c:v>
                </c:pt>
                <c:pt idx="19">
                  <c:v>7.5842032146818168</c:v>
                </c:pt>
                <c:pt idx="20">
                  <c:v>6.8810852204354003</c:v>
                </c:pt>
                <c:pt idx="23">
                  <c:v>1.8318354637463474</c:v>
                </c:pt>
                <c:pt idx="25">
                  <c:v>2.2901099542227317</c:v>
                </c:pt>
                <c:pt idx="26">
                  <c:v>2.9467721559962441</c:v>
                </c:pt>
                <c:pt idx="27">
                  <c:v>1.8885006165580507</c:v>
                </c:pt>
                <c:pt idx="28">
                  <c:v>4.5288000000000002E-2</c:v>
                </c:pt>
                <c:pt idx="29">
                  <c:v>0</c:v>
                </c:pt>
                <c:pt idx="30">
                  <c:v>5.4633142857142859E-2</c:v>
                </c:pt>
                <c:pt idx="31">
                  <c:v>2.5645028374065189</c:v>
                </c:pt>
                <c:pt idx="34">
                  <c:v>3.6028522662793607</c:v>
                </c:pt>
                <c:pt idx="35">
                  <c:v>2.0493189258262987</c:v>
                </c:pt>
                <c:pt idx="36">
                  <c:v>1.7000554650387762</c:v>
                </c:pt>
                <c:pt idx="37">
                  <c:v>0.93428531949103355</c:v>
                </c:pt>
                <c:pt idx="38">
                  <c:v>0.5173083858561639</c:v>
                </c:pt>
                <c:pt idx="40">
                  <c:v>2.2208655948181812</c:v>
                </c:pt>
                <c:pt idx="41">
                  <c:v>0.49322283877804179</c:v>
                </c:pt>
                <c:pt idx="42">
                  <c:v>0.13266181818181819</c:v>
                </c:pt>
              </c:numCache>
            </c:numRef>
          </c:val>
        </c:ser>
        <c:axId val="158425856"/>
        <c:axId val="158427392"/>
      </c:barChart>
      <c:catAx>
        <c:axId val="158425856"/>
        <c:scaling>
          <c:orientation val="minMax"/>
        </c:scaling>
        <c:axPos val="b"/>
        <c:tickLblPos val="nextTo"/>
        <c:txPr>
          <a:bodyPr rot="-5400000" vert="horz" anchor="t" anchorCtr="0"/>
          <a:lstStyle/>
          <a:p>
            <a:pPr>
              <a:defRPr/>
            </a:pPr>
            <a:endParaRPr lang="zh-CN"/>
          </a:p>
        </c:txPr>
        <c:crossAx val="158427392"/>
        <c:crosses val="autoZero"/>
        <c:auto val="1"/>
        <c:lblAlgn val="ctr"/>
        <c:lblOffset val="100"/>
      </c:catAx>
      <c:valAx>
        <c:axId val="158427392"/>
        <c:scaling>
          <c:orientation val="minMax"/>
        </c:scaling>
        <c:axPos val="l"/>
        <c:majorGridlines/>
        <c:numFmt formatCode="0.0_ " sourceLinked="0"/>
        <c:tickLblPos val="nextTo"/>
        <c:crossAx val="158425856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total!$G$36:$G$37</c:f>
              <c:strCache>
                <c:ptCount val="1"/>
                <c:pt idx="0">
                  <c:v>WTW GHG emission (g CO2e/km)</c:v>
                </c:pt>
              </c:strCache>
            </c:strRef>
          </c:tx>
          <c:dLbls>
            <c:dLbl>
              <c:idx val="2"/>
              <c:layout>
                <c:manualLayout>
                  <c:x val="-3.0932030932030931E-2"/>
                  <c:y val="2.7100271002710119E-2"/>
                </c:manualLayout>
              </c:layout>
              <c:showVal val="1"/>
            </c:dLbl>
            <c:dLbl>
              <c:idx val="3"/>
              <c:layout>
                <c:manualLayout>
                  <c:x val="-3.3353227053311346E-3"/>
                  <c:y val="8.1301103143913422E-3"/>
                </c:manualLayout>
              </c:layout>
              <c:showVal val="1"/>
            </c:dLbl>
            <c:dLbl>
              <c:idx val="7"/>
              <c:layout>
                <c:manualLayout>
                  <c:x val="1.7308754640044395E-3"/>
                  <c:y val="-1.0053453580523219E-3"/>
                </c:manualLayout>
              </c:layout>
              <c:showVal val="1"/>
            </c:dLbl>
            <c:dLbl>
              <c:idx val="8"/>
              <c:layout>
                <c:manualLayout>
                  <c:x val="-3.5816035816035818E-2"/>
                  <c:y val="-5.4200542005420054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total!$H$38:$H$80</c:f>
                <c:numCache>
                  <c:formatCode>General</c:formatCode>
                  <c:ptCount val="43"/>
                  <c:pt idx="0">
                    <c:v>12.01829416008208</c:v>
                  </c:pt>
                  <c:pt idx="1">
                    <c:v>11.180233051477764</c:v>
                  </c:pt>
                  <c:pt idx="4">
                    <c:v>11.984105263157897</c:v>
                  </c:pt>
                  <c:pt idx="5">
                    <c:v>21.520372101260829</c:v>
                  </c:pt>
                  <c:pt idx="6">
                    <c:v>10.005148894715427</c:v>
                  </c:pt>
                  <c:pt idx="7">
                    <c:v>10.312447218478097</c:v>
                  </c:pt>
                  <c:pt idx="8">
                    <c:v>10.445671330862247</c:v>
                  </c:pt>
                  <c:pt idx="9">
                    <c:v>57.947918198996774</c:v>
                  </c:pt>
                  <c:pt idx="12">
                    <c:v>107.72186387828356</c:v>
                  </c:pt>
                  <c:pt idx="13">
                    <c:v>110.75781818181817</c:v>
                  </c:pt>
                  <c:pt idx="14">
                    <c:v>51.453467574639909</c:v>
                  </c:pt>
                  <c:pt idx="15">
                    <c:v>73.726424242424258</c:v>
                  </c:pt>
                  <c:pt idx="17">
                    <c:v>100.87513524195195</c:v>
                  </c:pt>
                  <c:pt idx="18">
                    <c:v>111.39018181818182</c:v>
                  </c:pt>
                  <c:pt idx="19">
                    <c:v>60.468802101654532</c:v>
                  </c:pt>
                  <c:pt idx="20">
                    <c:v>101.43381818181821</c:v>
                  </c:pt>
                  <c:pt idx="23">
                    <c:v>18.006553439714509</c:v>
                  </c:pt>
                  <c:pt idx="25">
                    <c:v>23.127874333396306</c:v>
                  </c:pt>
                  <c:pt idx="26">
                    <c:v>24.812961930095305</c:v>
                  </c:pt>
                  <c:pt idx="27">
                    <c:v>12.496450237193555</c:v>
                  </c:pt>
                  <c:pt idx="28">
                    <c:v>0.51917460317460318</c:v>
                  </c:pt>
                  <c:pt idx="29">
                    <c:v>0</c:v>
                  </c:pt>
                  <c:pt idx="30">
                    <c:v>0.46326349206349204</c:v>
                  </c:pt>
                  <c:pt idx="31">
                    <c:v>11.938170995806258</c:v>
                  </c:pt>
                  <c:pt idx="34">
                    <c:v>54.80662900285315</c:v>
                  </c:pt>
                  <c:pt idx="35">
                    <c:v>24.976120589621662</c:v>
                  </c:pt>
                  <c:pt idx="36">
                    <c:v>240.40431506392642</c:v>
                  </c:pt>
                  <c:pt idx="37">
                    <c:v>-8.8590897650860665</c:v>
                  </c:pt>
                  <c:pt idx="38">
                    <c:v>1.0574951269771091</c:v>
                  </c:pt>
                  <c:pt idx="40">
                    <c:v>43.831311342933063</c:v>
                  </c:pt>
                  <c:pt idx="41">
                    <c:v>4.4994906797823964</c:v>
                  </c:pt>
                  <c:pt idx="42">
                    <c:v>4.1399636363636327</c:v>
                  </c:pt>
                </c:numCache>
              </c:numRef>
            </c:plus>
            <c:minus>
              <c:numRef>
                <c:f>total!$I$38:$I$80</c:f>
                <c:numCache>
                  <c:formatCode>General</c:formatCode>
                  <c:ptCount val="43"/>
                  <c:pt idx="0">
                    <c:v>12.01829416008208</c:v>
                  </c:pt>
                  <c:pt idx="1">
                    <c:v>11.180233051477764</c:v>
                  </c:pt>
                  <c:pt idx="4">
                    <c:v>11.984105263157897</c:v>
                  </c:pt>
                  <c:pt idx="5">
                    <c:v>21.520372101260829</c:v>
                  </c:pt>
                  <c:pt idx="6">
                    <c:v>10.005148894715427</c:v>
                  </c:pt>
                  <c:pt idx="7">
                    <c:v>10.312447218478097</c:v>
                  </c:pt>
                  <c:pt idx="8">
                    <c:v>10.445671330862247</c:v>
                  </c:pt>
                  <c:pt idx="9">
                    <c:v>57.947918198996767</c:v>
                  </c:pt>
                  <c:pt idx="12">
                    <c:v>152.60597382756836</c:v>
                  </c:pt>
                  <c:pt idx="13">
                    <c:v>156.90690909090907</c:v>
                  </c:pt>
                  <c:pt idx="14">
                    <c:v>81.720213206781025</c:v>
                  </c:pt>
                  <c:pt idx="15">
                    <c:v>117.0949090909091</c:v>
                  </c:pt>
                  <c:pt idx="17">
                    <c:v>134.5001803226026</c:v>
                  </c:pt>
                  <c:pt idx="18">
                    <c:v>148.52024242424241</c:v>
                  </c:pt>
                  <c:pt idx="19">
                    <c:v>85.664136310677222</c:v>
                  </c:pt>
                  <c:pt idx="20">
                    <c:v>143.69790909090909</c:v>
                  </c:pt>
                  <c:pt idx="23">
                    <c:v>18.006553439714509</c:v>
                  </c:pt>
                  <c:pt idx="25">
                    <c:v>23.127874333396303</c:v>
                  </c:pt>
                  <c:pt idx="26">
                    <c:v>24.812961930095305</c:v>
                  </c:pt>
                  <c:pt idx="27">
                    <c:v>12.496450237193553</c:v>
                  </c:pt>
                  <c:pt idx="28">
                    <c:v>0.51917460317460318</c:v>
                  </c:pt>
                  <c:pt idx="29">
                    <c:v>0</c:v>
                  </c:pt>
                  <c:pt idx="30">
                    <c:v>0.46326349206349204</c:v>
                  </c:pt>
                  <c:pt idx="31">
                    <c:v>11.938170995806258</c:v>
                  </c:pt>
                  <c:pt idx="34">
                    <c:v>123.31491525641958</c:v>
                  </c:pt>
                  <c:pt idx="35">
                    <c:v>56.196271326648741</c:v>
                  </c:pt>
                  <c:pt idx="36">
                    <c:v>40.067385843987736</c:v>
                  </c:pt>
                  <c:pt idx="37">
                    <c:v>-8.8590897650860665</c:v>
                  </c:pt>
                  <c:pt idx="38">
                    <c:v>1.0574951269771091</c:v>
                  </c:pt>
                  <c:pt idx="40">
                    <c:v>169.06362946559895</c:v>
                  </c:pt>
                  <c:pt idx="41">
                    <c:v>4.4994906797823955</c:v>
                  </c:pt>
                  <c:pt idx="42">
                    <c:v>4.1399636363636327</c:v>
                  </c:pt>
                </c:numCache>
              </c:numRef>
            </c:minus>
          </c:errBars>
          <c:cat>
            <c:strRef>
              <c:f>total!$C$38:$C$80</c:f>
              <c:strCache>
                <c:ptCount val="43"/>
                <c:pt idx="0">
                  <c:v>汽油车</c:v>
                </c:pt>
                <c:pt idx="1">
                  <c:v>柴油车</c:v>
                </c:pt>
                <c:pt idx="4">
                  <c:v>LPG车</c:v>
                </c:pt>
                <c:pt idx="5">
                  <c:v>CNG车</c:v>
                </c:pt>
                <c:pt idx="6">
                  <c:v>LNG车(海外进口)</c:v>
                </c:pt>
                <c:pt idx="7">
                  <c:v>LNG车(井口液化)</c:v>
                </c:pt>
                <c:pt idx="8">
                  <c:v>LNG车(管道气液化)</c:v>
                </c:pt>
                <c:pt idx="9">
                  <c:v>GTL车</c:v>
                </c:pt>
                <c:pt idx="12">
                  <c:v>甲醇（煤基）汽车</c:v>
                </c:pt>
                <c:pt idx="13">
                  <c:v>DME（煤基）汽车</c:v>
                </c:pt>
                <c:pt idx="14">
                  <c:v>CTL（煤基）汽车</c:v>
                </c:pt>
                <c:pt idx="15">
                  <c:v>ICTL（煤基）汽车</c:v>
                </c:pt>
                <c:pt idx="17">
                  <c:v>甲醇（煤基+CCS）汽车</c:v>
                </c:pt>
                <c:pt idx="18">
                  <c:v>DME（煤基+CCS）汽车</c:v>
                </c:pt>
                <c:pt idx="19">
                  <c:v>CTL（煤基+CCS）汽车</c:v>
                </c:pt>
                <c:pt idx="20">
                  <c:v>ICTL（煤基+CCS）汽车</c:v>
                </c:pt>
                <c:pt idx="23">
                  <c:v>纯电动汽车（网电）</c:v>
                </c:pt>
                <c:pt idx="25">
                  <c:v>纯电动汽车（煤电）</c:v>
                </c:pt>
                <c:pt idx="26">
                  <c:v>纯电动汽车（油电）</c:v>
                </c:pt>
                <c:pt idx="27">
                  <c:v>纯电动汽车（气电）</c:v>
                </c:pt>
                <c:pt idx="28">
                  <c:v>纯电动汽车（核电）</c:v>
                </c:pt>
                <c:pt idx="29">
                  <c:v>纯电动汽车（大水电）</c:v>
                </c:pt>
                <c:pt idx="30">
                  <c:v>纯电动汽车（生物质电）</c:v>
                </c:pt>
                <c:pt idx="31">
                  <c:v>纯电动汽车（煤电IGCC+CCS）</c:v>
                </c:pt>
                <c:pt idx="34">
                  <c:v>玉米乙醇汽车</c:v>
                </c:pt>
                <c:pt idx="35">
                  <c:v>木薯乙醇汽车</c:v>
                </c:pt>
                <c:pt idx="36">
                  <c:v>甜高粱乙醇汽车</c:v>
                </c:pt>
                <c:pt idx="37">
                  <c:v>木本二代生物燃料汽车</c:v>
                </c:pt>
                <c:pt idx="38">
                  <c:v>草本二代生物燃料汽车</c:v>
                </c:pt>
                <c:pt idx="40">
                  <c:v>废弃油生物柴油汽车</c:v>
                </c:pt>
                <c:pt idx="41">
                  <c:v>小桐子生物柴油汽车</c:v>
                </c:pt>
                <c:pt idx="42">
                  <c:v>费托生物柴油汽车</c:v>
                </c:pt>
              </c:strCache>
            </c:strRef>
          </c:cat>
          <c:val>
            <c:numRef>
              <c:f>total!$G$38:$G$80</c:f>
              <c:numCache>
                <c:formatCode>0_ </c:formatCode>
                <c:ptCount val="43"/>
                <c:pt idx="0">
                  <c:v>228.3475890415595</c:v>
                </c:pt>
                <c:pt idx="1">
                  <c:v>212.42442797807749</c:v>
                </c:pt>
                <c:pt idx="4">
                  <c:v>227.69800000000001</c:v>
                </c:pt>
                <c:pt idx="5">
                  <c:v>193.68334891134745</c:v>
                </c:pt>
                <c:pt idx="6">
                  <c:v>190.0978289995931</c:v>
                </c:pt>
                <c:pt idx="7">
                  <c:v>195.93649715108381</c:v>
                </c:pt>
                <c:pt idx="8">
                  <c:v>198.46775528638267</c:v>
                </c:pt>
                <c:pt idx="9">
                  <c:v>328.3715364609817</c:v>
                </c:pt>
                <c:pt idx="12">
                  <c:v>610.42389531027345</c:v>
                </c:pt>
                <c:pt idx="13">
                  <c:v>627.62763636363627</c:v>
                </c:pt>
                <c:pt idx="14">
                  <c:v>463.08120817175916</c:v>
                </c:pt>
                <c:pt idx="15">
                  <c:v>663.53781818181824</c:v>
                </c:pt>
                <c:pt idx="17">
                  <c:v>403.50054096780781</c:v>
                </c:pt>
                <c:pt idx="18">
                  <c:v>445.56072727272726</c:v>
                </c:pt>
                <c:pt idx="19">
                  <c:v>342.65654524270894</c:v>
                </c:pt>
                <c:pt idx="20">
                  <c:v>574.79163636363637</c:v>
                </c:pt>
                <c:pt idx="23">
                  <c:v>162.05898095743058</c:v>
                </c:pt>
                <c:pt idx="25">
                  <c:v>208.15086900056673</c:v>
                </c:pt>
                <c:pt idx="26">
                  <c:v>223.31665737085774</c:v>
                </c:pt>
                <c:pt idx="27">
                  <c:v>112.46805213474198</c:v>
                </c:pt>
                <c:pt idx="28">
                  <c:v>4.6725714285714286</c:v>
                </c:pt>
                <c:pt idx="29">
                  <c:v>3.5942857142857143</c:v>
                </c:pt>
                <c:pt idx="30">
                  <c:v>4.1693714285714281</c:v>
                </c:pt>
                <c:pt idx="31">
                  <c:v>67.649635642902126</c:v>
                </c:pt>
                <c:pt idx="34">
                  <c:v>493.25966102567833</c:v>
                </c:pt>
                <c:pt idx="35">
                  <c:v>224.78508530659494</c:v>
                </c:pt>
                <c:pt idx="36">
                  <c:v>160.26954337595097</c:v>
                </c:pt>
                <c:pt idx="37">
                  <c:v>79.7318078857746</c:v>
                </c:pt>
                <c:pt idx="38">
                  <c:v>9.5174561427939821</c:v>
                </c:pt>
                <c:pt idx="40">
                  <c:v>394.48180208639752</c:v>
                </c:pt>
                <c:pt idx="41">
                  <c:v>40.495416118041561</c:v>
                </c:pt>
                <c:pt idx="42">
                  <c:v>16.559854545454531</c:v>
                </c:pt>
              </c:numCache>
            </c:numRef>
          </c:val>
        </c:ser>
        <c:axId val="158461312"/>
        <c:axId val="158475392"/>
      </c:barChart>
      <c:catAx>
        <c:axId val="158461312"/>
        <c:scaling>
          <c:orientation val="minMax"/>
        </c:scaling>
        <c:axPos val="b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158475392"/>
        <c:crossesAt val="0"/>
        <c:auto val="1"/>
        <c:lblAlgn val="ctr"/>
        <c:lblOffset val="100"/>
      </c:catAx>
      <c:valAx>
        <c:axId val="158475392"/>
        <c:scaling>
          <c:orientation val="minMax"/>
        </c:scaling>
        <c:axPos val="l"/>
        <c:majorGridlines/>
        <c:numFmt formatCode="0_ " sourceLinked="0"/>
        <c:tickLblPos val="nextTo"/>
        <c:crossAx val="158461312"/>
        <c:crossesAt val="1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total!$D$5:$D$6</c:f>
              <c:strCache>
                <c:ptCount val="1"/>
                <c:pt idx="0">
                  <c:v>WTW fossil energy use (MJ/km)</c:v>
                </c:pt>
              </c:strCache>
            </c:strRef>
          </c:tx>
          <c:dLbls>
            <c:dLbl>
              <c:idx val="4"/>
              <c:layout>
                <c:manualLayout>
                  <c:x val="-7.5444944640119753E-17"/>
                  <c:y val="-9.4562647754137495E-3"/>
                </c:manualLayout>
              </c:layout>
              <c:showVal val="1"/>
            </c:dLbl>
            <c:dLbl>
              <c:idx val="5"/>
              <c:layout>
                <c:manualLayout>
                  <c:x val="-9.7618489457644408E-3"/>
                  <c:y val="7.0756183522219362E-3"/>
                </c:manualLayout>
              </c:layout>
              <c:showVal val="1"/>
            </c:dLbl>
            <c:dLbl>
              <c:idx val="6"/>
              <c:layout>
                <c:manualLayout>
                  <c:x val="9.0806293696650791E-4"/>
                  <c:y val="6.3040200409434938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total!$E$7:$E$15</c:f>
                <c:numCache>
                  <c:formatCode>General</c:formatCode>
                  <c:ptCount val="9"/>
                  <c:pt idx="0">
                    <c:v>0.16924569859900968</c:v>
                  </c:pt>
                  <c:pt idx="1">
                    <c:v>0.15277701956867534</c:v>
                  </c:pt>
                  <c:pt idx="3">
                    <c:v>0.16796176132874041</c:v>
                  </c:pt>
                  <c:pt idx="4">
                    <c:v>0.35213386091432469</c:v>
                  </c:pt>
                  <c:pt idx="5">
                    <c:v>0.16741667576766928</c:v>
                  </c:pt>
                  <c:pt idx="6">
                    <c:v>0.16567992104962392</c:v>
                  </c:pt>
                  <c:pt idx="7">
                    <c:v>0.16769030365713938</c:v>
                  </c:pt>
                  <c:pt idx="8">
                    <c:v>0.86225450875231702</c:v>
                  </c:pt>
                </c:numCache>
              </c:numRef>
            </c:plus>
            <c:minus>
              <c:numRef>
                <c:f>total!$F$7:$F$15</c:f>
                <c:numCache>
                  <c:formatCode>General</c:formatCode>
                  <c:ptCount val="9"/>
                  <c:pt idx="0">
                    <c:v>0.16924569859900968</c:v>
                  </c:pt>
                  <c:pt idx="1">
                    <c:v>0.15277701956867534</c:v>
                  </c:pt>
                  <c:pt idx="3">
                    <c:v>0.16796176132874041</c:v>
                  </c:pt>
                  <c:pt idx="4">
                    <c:v>0.35213386091432469</c:v>
                  </c:pt>
                  <c:pt idx="5">
                    <c:v>0.16741667576766925</c:v>
                  </c:pt>
                  <c:pt idx="6">
                    <c:v>0.16567992104962392</c:v>
                  </c:pt>
                  <c:pt idx="7">
                    <c:v>0.16769030365713938</c:v>
                  </c:pt>
                  <c:pt idx="8">
                    <c:v>0.86225450875231702</c:v>
                  </c:pt>
                </c:numCache>
              </c:numRef>
            </c:minus>
          </c:errBars>
          <c:cat>
            <c:strRef>
              <c:f>total!$C$7:$C$15</c:f>
              <c:strCache>
                <c:ptCount val="9"/>
                <c:pt idx="0">
                  <c:v>汽油车</c:v>
                </c:pt>
                <c:pt idx="1">
                  <c:v>柴油车</c:v>
                </c:pt>
                <c:pt idx="3">
                  <c:v>LPG车</c:v>
                </c:pt>
                <c:pt idx="4">
                  <c:v>CNG车</c:v>
                </c:pt>
                <c:pt idx="5">
                  <c:v>LNG车(海外进口)</c:v>
                </c:pt>
                <c:pt idx="6">
                  <c:v>LNG车(井口液化)</c:v>
                </c:pt>
                <c:pt idx="7">
                  <c:v>LNG车(管道气液化)</c:v>
                </c:pt>
                <c:pt idx="8">
                  <c:v>GTL车</c:v>
                </c:pt>
              </c:strCache>
            </c:strRef>
          </c:cat>
          <c:val>
            <c:numRef>
              <c:f>total!$D$7:$D$15</c:f>
              <c:numCache>
                <c:formatCode>0.0</c:formatCode>
                <c:ptCount val="9"/>
                <c:pt idx="0">
                  <c:v>3.2156682733811834</c:v>
                </c:pt>
                <c:pt idx="1">
                  <c:v>2.9027633718048311</c:v>
                </c:pt>
                <c:pt idx="3">
                  <c:v>3.1912734652460677</c:v>
                </c:pt>
                <c:pt idx="4">
                  <c:v>3.1692047482289221</c:v>
                </c:pt>
                <c:pt idx="5">
                  <c:v>3.1809168395857159</c:v>
                </c:pt>
                <c:pt idx="6">
                  <c:v>3.1479184999428544</c:v>
                </c:pt>
                <c:pt idx="7">
                  <c:v>3.1861157694856477</c:v>
                </c:pt>
                <c:pt idx="8">
                  <c:v>4.8861088829297961</c:v>
                </c:pt>
              </c:numCache>
            </c:numRef>
          </c:val>
        </c:ser>
        <c:axId val="158504064"/>
        <c:axId val="158505600"/>
      </c:barChart>
      <c:catAx>
        <c:axId val="158504064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8505600"/>
        <c:crosses val="autoZero"/>
        <c:auto val="1"/>
        <c:lblAlgn val="ctr"/>
        <c:lblOffset val="100"/>
      </c:catAx>
      <c:valAx>
        <c:axId val="158505600"/>
        <c:scaling>
          <c:orientation val="minMax"/>
        </c:scaling>
        <c:axPos val="l"/>
        <c:majorGridlines/>
        <c:numFmt formatCode="0.0_ " sourceLinked="0"/>
        <c:tickLblPos val="nextTo"/>
        <c:crossAx val="158504064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total!$G$5:$G$6</c:f>
              <c:strCache>
                <c:ptCount val="1"/>
                <c:pt idx="0">
                  <c:v>WTW GHG emission (g CO2e/km)</c:v>
                </c:pt>
              </c:strCache>
            </c:strRef>
          </c:tx>
          <c:dLbls>
            <c:dLbl>
              <c:idx val="0"/>
              <c:layout>
                <c:manualLayout>
                  <c:x val="2.0768428587104202E-3"/>
                  <c:y val="-2.0512820512820596E-2"/>
                </c:manualLayout>
              </c:layout>
              <c:showVal val="1"/>
            </c:dLbl>
            <c:dLbl>
              <c:idx val="3"/>
              <c:layout>
                <c:manualLayout>
                  <c:x val="-7.6150025127794811E-17"/>
                  <c:y val="-3.0769230769230792E-2"/>
                </c:manualLayout>
              </c:layout>
              <c:showVal val="1"/>
            </c:dLbl>
            <c:dLbl>
              <c:idx val="6"/>
              <c:layout>
                <c:manualLayout>
                  <c:x val="0"/>
                  <c:y val="-1.7259978425026964E-2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total!$H$7:$H$15</c:f>
                <c:numCache>
                  <c:formatCode>General</c:formatCode>
                  <c:ptCount val="9"/>
                  <c:pt idx="0">
                    <c:v>12.01829416008208</c:v>
                  </c:pt>
                  <c:pt idx="1">
                    <c:v>11.180233051477764</c:v>
                  </c:pt>
                  <c:pt idx="3">
                    <c:v>11.984105263157897</c:v>
                  </c:pt>
                  <c:pt idx="4">
                    <c:v>21.520372101260829</c:v>
                  </c:pt>
                  <c:pt idx="5">
                    <c:v>10.005148894715427</c:v>
                  </c:pt>
                  <c:pt idx="6">
                    <c:v>10.312447218478097</c:v>
                  </c:pt>
                  <c:pt idx="7">
                    <c:v>10.445671330862247</c:v>
                  </c:pt>
                  <c:pt idx="8">
                    <c:v>57.947918198996774</c:v>
                  </c:pt>
                </c:numCache>
              </c:numRef>
            </c:plus>
            <c:minus>
              <c:numRef>
                <c:f>total!$I$7:$I$15</c:f>
                <c:numCache>
                  <c:formatCode>General</c:formatCode>
                  <c:ptCount val="9"/>
                  <c:pt idx="0">
                    <c:v>12.01829416008208</c:v>
                  </c:pt>
                  <c:pt idx="1">
                    <c:v>11.180233051477764</c:v>
                  </c:pt>
                  <c:pt idx="3">
                    <c:v>11.984105263157897</c:v>
                  </c:pt>
                  <c:pt idx="4">
                    <c:v>21.520372101260829</c:v>
                  </c:pt>
                  <c:pt idx="5">
                    <c:v>10.005148894715427</c:v>
                  </c:pt>
                  <c:pt idx="6">
                    <c:v>10.312447218478097</c:v>
                  </c:pt>
                  <c:pt idx="7">
                    <c:v>10.445671330862247</c:v>
                  </c:pt>
                  <c:pt idx="8">
                    <c:v>57.947918198996767</c:v>
                  </c:pt>
                </c:numCache>
              </c:numRef>
            </c:minus>
          </c:errBars>
          <c:cat>
            <c:strRef>
              <c:f>total!$C$7:$C$15</c:f>
              <c:strCache>
                <c:ptCount val="9"/>
                <c:pt idx="0">
                  <c:v>汽油车</c:v>
                </c:pt>
                <c:pt idx="1">
                  <c:v>柴油车</c:v>
                </c:pt>
                <c:pt idx="3">
                  <c:v>LPG车</c:v>
                </c:pt>
                <c:pt idx="4">
                  <c:v>CNG车</c:v>
                </c:pt>
                <c:pt idx="5">
                  <c:v>LNG车(海外进口)</c:v>
                </c:pt>
                <c:pt idx="6">
                  <c:v>LNG车(井口液化)</c:v>
                </c:pt>
                <c:pt idx="7">
                  <c:v>LNG车(管道气液化)</c:v>
                </c:pt>
                <c:pt idx="8">
                  <c:v>GTL车</c:v>
                </c:pt>
              </c:strCache>
            </c:strRef>
          </c:cat>
          <c:val>
            <c:numRef>
              <c:f>total!$G$7:$G$15</c:f>
              <c:numCache>
                <c:formatCode>0.0</c:formatCode>
                <c:ptCount val="9"/>
                <c:pt idx="0">
                  <c:v>228.3475890415595</c:v>
                </c:pt>
                <c:pt idx="1">
                  <c:v>212.42442797807749</c:v>
                </c:pt>
                <c:pt idx="3">
                  <c:v>227.69800000000001</c:v>
                </c:pt>
                <c:pt idx="4">
                  <c:v>193.68334891134745</c:v>
                </c:pt>
                <c:pt idx="5">
                  <c:v>190.0978289995931</c:v>
                </c:pt>
                <c:pt idx="6">
                  <c:v>195.93649715108381</c:v>
                </c:pt>
                <c:pt idx="7">
                  <c:v>198.46775528638267</c:v>
                </c:pt>
                <c:pt idx="8">
                  <c:v>328.3715364609817</c:v>
                </c:pt>
              </c:numCache>
            </c:numRef>
          </c:val>
        </c:ser>
        <c:axId val="158534272"/>
        <c:axId val="158548352"/>
      </c:barChart>
      <c:catAx>
        <c:axId val="15853427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8548352"/>
        <c:crosses val="autoZero"/>
        <c:auto val="1"/>
        <c:lblAlgn val="ctr"/>
        <c:lblOffset val="100"/>
      </c:catAx>
      <c:valAx>
        <c:axId val="158548352"/>
        <c:scaling>
          <c:orientation val="minMax"/>
        </c:scaling>
        <c:axPos val="l"/>
        <c:majorGridlines/>
        <c:numFmt formatCode="0_ " sourceLinked="0"/>
        <c:tickLblPos val="nextTo"/>
        <c:crossAx val="158534272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Life cycle</a:t>
            </a:r>
            <a:r>
              <a:rPr lang="en-US" altLang="zh-CN" baseline="0"/>
              <a:t> fossil energy consumption</a:t>
            </a:r>
            <a:endParaRPr lang="zh-CN" altLang="en-US"/>
          </a:p>
        </c:rich>
      </c:tx>
    </c:title>
    <c:plotArea>
      <c:layout>
        <c:manualLayout>
          <c:layoutTarget val="inner"/>
          <c:xMode val="edge"/>
          <c:yMode val="edge"/>
          <c:x val="7.6439829658780711E-2"/>
          <c:y val="9.0740904841046077E-2"/>
          <c:w val="0.80314177189431235"/>
          <c:h val="0.729630949130044"/>
        </c:manualLayout>
      </c:layout>
      <c:barChart>
        <c:barDir val="col"/>
        <c:grouping val="stacked"/>
        <c:ser>
          <c:idx val="0"/>
          <c:order val="0"/>
          <c:tx>
            <c:strRef>
              <c:f>WTPs!$B$2</c:f>
              <c:strCache>
                <c:ptCount val="1"/>
                <c:pt idx="0">
                  <c:v>coal</c:v>
                </c:pt>
              </c:strCache>
            </c:strRef>
          </c:tx>
          <c:cat>
            <c:strRef>
              <c:f>WTPs!$A$5:$A$33</c:f>
              <c:strCache>
                <c:ptCount val="29"/>
                <c:pt idx="0">
                  <c:v>Gasoline</c:v>
                </c:pt>
                <c:pt idx="1">
                  <c:v>Diesel</c:v>
                </c:pt>
                <c:pt idx="2">
                  <c:v>CNG</c:v>
                </c:pt>
                <c:pt idx="3">
                  <c:v>LNG</c:v>
                </c:pt>
                <c:pt idx="4">
                  <c:v>GTL</c:v>
                </c:pt>
                <c:pt idx="5">
                  <c:v>CTL</c:v>
                </c:pt>
                <c:pt idx="6">
                  <c:v>CTL(2)</c:v>
                </c:pt>
                <c:pt idx="7">
                  <c:v>CTL+CCS</c:v>
                </c:pt>
                <c:pt idx="8">
                  <c:v>CTL+CCS (2)</c:v>
                </c:pt>
                <c:pt idx="10">
                  <c:v>Grid electricity</c:v>
                </c:pt>
                <c:pt idx="11">
                  <c:v>North China</c:v>
                </c:pt>
                <c:pt idx="12">
                  <c:v>South China</c:v>
                </c:pt>
                <c:pt idx="14">
                  <c:v>PV power(Best) </c:v>
                </c:pt>
                <c:pt idx="15">
                  <c:v>PV power(Ave) </c:v>
                </c:pt>
                <c:pt idx="16">
                  <c:v>PV power(Worst)</c:v>
                </c:pt>
                <c:pt idx="18">
                  <c:v>SC coal to power</c:v>
                </c:pt>
                <c:pt idx="19">
                  <c:v>SC+CCS</c:v>
                </c:pt>
                <c:pt idx="21">
                  <c:v>USC coal to power</c:v>
                </c:pt>
                <c:pt idx="22">
                  <c:v>USC+CCS</c:v>
                </c:pt>
                <c:pt idx="23">
                  <c:v>IGCC</c:v>
                </c:pt>
                <c:pt idx="24">
                  <c:v>IGCC+CCS</c:v>
                </c:pt>
                <c:pt idx="26">
                  <c:v>SNG</c:v>
                </c:pt>
                <c:pt idx="27">
                  <c:v>SNG (2)</c:v>
                </c:pt>
                <c:pt idx="28">
                  <c:v>SNG+CCS</c:v>
                </c:pt>
              </c:strCache>
            </c:strRef>
          </c:cat>
          <c:val>
            <c:numRef>
              <c:f>WTPs!$B$5:$B$33</c:f>
              <c:numCache>
                <c:formatCode>0.00_ </c:formatCode>
                <c:ptCount val="29"/>
                <c:pt idx="0">
                  <c:v>7.4260045413688622E-2</c:v>
                </c:pt>
                <c:pt idx="1">
                  <c:v>7.2286083298277556E-2</c:v>
                </c:pt>
                <c:pt idx="2">
                  <c:v>7.7365959734621334E-2</c:v>
                </c:pt>
                <c:pt idx="3">
                  <c:v>1.5106433878812305E-2</c:v>
                </c:pt>
                <c:pt idx="4">
                  <c:v>4.7418699158705252E-2</c:v>
                </c:pt>
                <c:pt idx="5">
                  <c:v>2.6381662095325509</c:v>
                </c:pt>
                <c:pt idx="6">
                  <c:v>2.1784466588343063</c:v>
                </c:pt>
                <c:pt idx="7">
                  <c:v>3.262994395020248</c:v>
                </c:pt>
                <c:pt idx="8">
                  <c:v>2.5969033702392039</c:v>
                </c:pt>
                <c:pt idx="10">
                  <c:v>2.4073229729246317</c:v>
                </c:pt>
                <c:pt idx="11">
                  <c:v>3.0775125419466285</c:v>
                </c:pt>
                <c:pt idx="12">
                  <c:v>2.0438072982299071</c:v>
                </c:pt>
                <c:pt idx="14">
                  <c:v>0.17614814191695108</c:v>
                </c:pt>
                <c:pt idx="15">
                  <c:v>0.27751534497256325</c:v>
                </c:pt>
                <c:pt idx="16">
                  <c:v>0.51250313381838575</c:v>
                </c:pt>
                <c:pt idx="18">
                  <c:v>3.1937846406119483</c:v>
                </c:pt>
                <c:pt idx="19">
                  <c:v>4.3697023713679073</c:v>
                </c:pt>
                <c:pt idx="21">
                  <c:v>2.5284128404844592</c:v>
                </c:pt>
                <c:pt idx="22">
                  <c:v>3.2255463186977589</c:v>
                </c:pt>
                <c:pt idx="23">
                  <c:v>2.8538521169824591</c:v>
                </c:pt>
                <c:pt idx="24">
                  <c:v>3.5297202596381525</c:v>
                </c:pt>
                <c:pt idx="26">
                  <c:v>2.1113621639476858</c:v>
                </c:pt>
                <c:pt idx="27">
                  <c:v>2.1113621639476858</c:v>
                </c:pt>
                <c:pt idx="28">
                  <c:v>2.116003544093993</c:v>
                </c:pt>
              </c:numCache>
            </c:numRef>
          </c:val>
        </c:ser>
        <c:ser>
          <c:idx val="1"/>
          <c:order val="1"/>
          <c:tx>
            <c:strRef>
              <c:f>WTPs!$C$2</c:f>
              <c:strCache>
                <c:ptCount val="1"/>
                <c:pt idx="0">
                  <c:v>NG</c:v>
                </c:pt>
              </c:strCache>
            </c:strRef>
          </c:tx>
          <c:cat>
            <c:strRef>
              <c:f>WTPs!$A$5:$A$33</c:f>
              <c:strCache>
                <c:ptCount val="29"/>
                <c:pt idx="0">
                  <c:v>Gasoline</c:v>
                </c:pt>
                <c:pt idx="1">
                  <c:v>Diesel</c:v>
                </c:pt>
                <c:pt idx="2">
                  <c:v>CNG</c:v>
                </c:pt>
                <c:pt idx="3">
                  <c:v>LNG</c:v>
                </c:pt>
                <c:pt idx="4">
                  <c:v>GTL</c:v>
                </c:pt>
                <c:pt idx="5">
                  <c:v>CTL</c:v>
                </c:pt>
                <c:pt idx="6">
                  <c:v>CTL(2)</c:v>
                </c:pt>
                <c:pt idx="7">
                  <c:v>CTL+CCS</c:v>
                </c:pt>
                <c:pt idx="8">
                  <c:v>CTL+CCS (2)</c:v>
                </c:pt>
                <c:pt idx="10">
                  <c:v>Grid electricity</c:v>
                </c:pt>
                <c:pt idx="11">
                  <c:v>North China</c:v>
                </c:pt>
                <c:pt idx="12">
                  <c:v>South China</c:v>
                </c:pt>
                <c:pt idx="14">
                  <c:v>PV power(Best) </c:v>
                </c:pt>
                <c:pt idx="15">
                  <c:v>PV power(Ave) </c:v>
                </c:pt>
                <c:pt idx="16">
                  <c:v>PV power(Worst)</c:v>
                </c:pt>
                <c:pt idx="18">
                  <c:v>SC coal to power</c:v>
                </c:pt>
                <c:pt idx="19">
                  <c:v>SC+CCS</c:v>
                </c:pt>
                <c:pt idx="21">
                  <c:v>USC coal to power</c:v>
                </c:pt>
                <c:pt idx="22">
                  <c:v>USC+CCS</c:v>
                </c:pt>
                <c:pt idx="23">
                  <c:v>IGCC</c:v>
                </c:pt>
                <c:pt idx="24">
                  <c:v>IGCC+CCS</c:v>
                </c:pt>
                <c:pt idx="26">
                  <c:v>SNG</c:v>
                </c:pt>
                <c:pt idx="27">
                  <c:v>SNG (2)</c:v>
                </c:pt>
                <c:pt idx="28">
                  <c:v>SNG+CCS</c:v>
                </c:pt>
              </c:strCache>
            </c:strRef>
          </c:cat>
          <c:val>
            <c:numRef>
              <c:f>WTPs!$C$5:$C$33</c:f>
              <c:numCache>
                <c:formatCode>0.00_ </c:formatCode>
                <c:ptCount val="29"/>
                <c:pt idx="0">
                  <c:v>5.0176246572035947E-2</c:v>
                </c:pt>
                <c:pt idx="1">
                  <c:v>4.9578985063534531E-2</c:v>
                </c:pt>
                <c:pt idx="2">
                  <c:v>1.1123149031608779</c:v>
                </c:pt>
                <c:pt idx="3">
                  <c:v>1.2064432572053265</c:v>
                </c:pt>
                <c:pt idx="4">
                  <c:v>2.0332696711451637</c:v>
                </c:pt>
                <c:pt idx="5">
                  <c:v>7.2488961071699764E-3</c:v>
                </c:pt>
                <c:pt idx="6">
                  <c:v>6.0794556599349601E-3</c:v>
                </c:pt>
                <c:pt idx="7">
                  <c:v>9.5835777275478633E-3</c:v>
                </c:pt>
                <c:pt idx="8">
                  <c:v>1.4642268891659782E-2</c:v>
                </c:pt>
                <c:pt idx="10">
                  <c:v>0.18717839215522458</c:v>
                </c:pt>
                <c:pt idx="11">
                  <c:v>7.511502981020682E-3</c:v>
                </c:pt>
                <c:pt idx="12">
                  <c:v>5.2321193241463716E-3</c:v>
                </c:pt>
                <c:pt idx="14">
                  <c:v>1.382089071127437E-3</c:v>
                </c:pt>
                <c:pt idx="15">
                  <c:v>2.1774338416670536E-3</c:v>
                </c:pt>
                <c:pt idx="16">
                  <c:v>4.0211890540571733E-3</c:v>
                </c:pt>
                <c:pt idx="18">
                  <c:v>8.1243900391374402E-3</c:v>
                </c:pt>
                <c:pt idx="19">
                  <c:v>1.2538981150309386E-2</c:v>
                </c:pt>
                <c:pt idx="21">
                  <c:v>6.4318087809838069E-3</c:v>
                </c:pt>
                <c:pt idx="22">
                  <c:v>9.2557938853258699E-3</c:v>
                </c:pt>
                <c:pt idx="23">
                  <c:v>7.2596653567540007E-3</c:v>
                </c:pt>
                <c:pt idx="24">
                  <c:v>1.0077743889975115E-2</c:v>
                </c:pt>
                <c:pt idx="26">
                  <c:v>5.3709099591954731E-3</c:v>
                </c:pt>
                <c:pt idx="27">
                  <c:v>5.3709099591954731E-3</c:v>
                </c:pt>
                <c:pt idx="28">
                  <c:v>5.7317946775893146E-3</c:v>
                </c:pt>
              </c:numCache>
            </c:numRef>
          </c:val>
        </c:ser>
        <c:ser>
          <c:idx val="2"/>
          <c:order val="2"/>
          <c:tx>
            <c:strRef>
              <c:f>WTPs!$D$2</c:f>
              <c:strCache>
                <c:ptCount val="1"/>
                <c:pt idx="0">
                  <c:v>petroluem</c:v>
                </c:pt>
              </c:strCache>
            </c:strRef>
          </c:tx>
          <c:cat>
            <c:strRef>
              <c:f>WTPs!$A$5:$A$33</c:f>
              <c:strCache>
                <c:ptCount val="29"/>
                <c:pt idx="0">
                  <c:v>Gasoline</c:v>
                </c:pt>
                <c:pt idx="1">
                  <c:v>Diesel</c:v>
                </c:pt>
                <c:pt idx="2">
                  <c:v>CNG</c:v>
                </c:pt>
                <c:pt idx="3">
                  <c:v>LNG</c:v>
                </c:pt>
                <c:pt idx="4">
                  <c:v>GTL</c:v>
                </c:pt>
                <c:pt idx="5">
                  <c:v>CTL</c:v>
                </c:pt>
                <c:pt idx="6">
                  <c:v>CTL(2)</c:v>
                </c:pt>
                <c:pt idx="7">
                  <c:v>CTL+CCS</c:v>
                </c:pt>
                <c:pt idx="8">
                  <c:v>CTL+CCS (2)</c:v>
                </c:pt>
                <c:pt idx="10">
                  <c:v>Grid electricity</c:v>
                </c:pt>
                <c:pt idx="11">
                  <c:v>North China</c:v>
                </c:pt>
                <c:pt idx="12">
                  <c:v>South China</c:v>
                </c:pt>
                <c:pt idx="14">
                  <c:v>PV power(Best) </c:v>
                </c:pt>
                <c:pt idx="15">
                  <c:v>PV power(Ave) </c:v>
                </c:pt>
                <c:pt idx="16">
                  <c:v>PV power(Worst)</c:v>
                </c:pt>
                <c:pt idx="18">
                  <c:v>SC coal to power</c:v>
                </c:pt>
                <c:pt idx="19">
                  <c:v>SC+CCS</c:v>
                </c:pt>
                <c:pt idx="21">
                  <c:v>USC coal to power</c:v>
                </c:pt>
                <c:pt idx="22">
                  <c:v>USC+CCS</c:v>
                </c:pt>
                <c:pt idx="23">
                  <c:v>IGCC</c:v>
                </c:pt>
                <c:pt idx="24">
                  <c:v>IGCC+CCS</c:v>
                </c:pt>
                <c:pt idx="26">
                  <c:v>SNG</c:v>
                </c:pt>
                <c:pt idx="27">
                  <c:v>SNG (2)</c:v>
                </c:pt>
                <c:pt idx="28">
                  <c:v>SNG+CCS</c:v>
                </c:pt>
              </c:strCache>
            </c:strRef>
          </c:cat>
          <c:val>
            <c:numRef>
              <c:f>WTPs!$D$5:$D$33</c:f>
              <c:numCache>
                <c:formatCode>0.00_ </c:formatCode>
                <c:ptCount val="29"/>
                <c:pt idx="0">
                  <c:v>1.1536512570529016</c:v>
                </c:pt>
                <c:pt idx="1">
                  <c:v>1.1472286156546083</c:v>
                </c:pt>
                <c:pt idx="2">
                  <c:v>6.9584498300473323E-3</c:v>
                </c:pt>
                <c:pt idx="3">
                  <c:v>3.8799992783467838E-2</c:v>
                </c:pt>
                <c:pt idx="4">
                  <c:v>5.6395690234496303E-2</c:v>
                </c:pt>
                <c:pt idx="5">
                  <c:v>4.5473769159221675E-2</c:v>
                </c:pt>
                <c:pt idx="6">
                  <c:v>3.915231739005199E-2</c:v>
                </c:pt>
                <c:pt idx="7">
                  <c:v>5.4209440823450784E-2</c:v>
                </c:pt>
                <c:pt idx="8">
                  <c:v>4.6353909545323348E-2</c:v>
                </c:pt>
                <c:pt idx="10">
                  <c:v>6.8054364602401593E-2</c:v>
                </c:pt>
                <c:pt idx="11">
                  <c:v>4.166230410096651E-2</c:v>
                </c:pt>
                <c:pt idx="12">
                  <c:v>2.7933160883294117E-2</c:v>
                </c:pt>
                <c:pt idx="14">
                  <c:v>2.3291593875500203E-2</c:v>
                </c:pt>
                <c:pt idx="15">
                  <c:v>3.6695105829545271E-2</c:v>
                </c:pt>
                <c:pt idx="16">
                  <c:v>6.7766907575141727E-2</c:v>
                </c:pt>
                <c:pt idx="18">
                  <c:v>4.3916678192343073E-2</c:v>
                </c:pt>
                <c:pt idx="19">
                  <c:v>6.0361094057349254E-2</c:v>
                </c:pt>
                <c:pt idx="21">
                  <c:v>3.476737023560493E-2</c:v>
                </c:pt>
                <c:pt idx="22">
                  <c:v>4.4556239345954179E-2</c:v>
                </c:pt>
                <c:pt idx="23">
                  <c:v>3.92423782857323E-2</c:v>
                </c:pt>
                <c:pt idx="24">
                  <c:v>4.8748137428073608E-2</c:v>
                </c:pt>
                <c:pt idx="26">
                  <c:v>2.9032644068265397E-2</c:v>
                </c:pt>
                <c:pt idx="27">
                  <c:v>2.9032644068265397E-2</c:v>
                </c:pt>
                <c:pt idx="28">
                  <c:v>2.9163854620521037E-2</c:v>
                </c:pt>
              </c:numCache>
            </c:numRef>
          </c:val>
        </c:ser>
        <c:overlap val="100"/>
        <c:axId val="158829184"/>
        <c:axId val="158835072"/>
      </c:barChart>
      <c:catAx>
        <c:axId val="158829184"/>
        <c:scaling>
          <c:orientation val="minMax"/>
        </c:scaling>
        <c:axPos val="b"/>
        <c:numFmt formatCode="General" sourceLinked="1"/>
        <c:tickLblPos val="nextTo"/>
        <c:crossAx val="158835072"/>
        <c:crosses val="autoZero"/>
        <c:auto val="1"/>
        <c:lblAlgn val="ctr"/>
        <c:lblOffset val="100"/>
      </c:catAx>
      <c:valAx>
        <c:axId val="158835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000" b="0" i="0" u="none" strike="noStrike" baseline="0"/>
                  <a:t>MJ/MJ</a:t>
                </a:r>
                <a:r>
                  <a:rPr lang="en-US" altLang="zh-CN" sz="1000" b="1" i="0" u="none" strike="noStrike" baseline="0"/>
                  <a:t> </a:t>
                </a:r>
                <a:endParaRPr lang="zh-CN" altLang="en-US"/>
              </a:p>
            </c:rich>
          </c:tx>
        </c:title>
        <c:numFmt formatCode="0.00_ " sourceLinked="1"/>
        <c:tickLblPos val="nextTo"/>
        <c:crossAx val="15882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261824078272856"/>
          <c:y val="0.4611118887916788"/>
          <c:w val="8.2722513089005231E-2"/>
          <c:h val="0.13333352775347518"/>
        </c:manualLayout>
      </c:layout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5.5016181229773767E-2"/>
          <c:y val="7.1065989847716032E-2"/>
          <c:w val="0.91909385113268605"/>
          <c:h val="0.7461928934010178"/>
        </c:manualLayout>
      </c:layout>
      <c:barChart>
        <c:barDir val="col"/>
        <c:grouping val="stacked"/>
        <c:ser>
          <c:idx val="0"/>
          <c:order val="0"/>
          <c:dLbls>
            <c:showVal val="1"/>
          </c:dLbls>
          <c:cat>
            <c:strRef>
              <c:f>'fuel summary'!$E$61:$I$61</c:f>
              <c:strCache>
                <c:ptCount val="5"/>
                <c:pt idx="0">
                  <c:v>NG开采处理阶段</c:v>
                </c:pt>
                <c:pt idx="1">
                  <c:v>NG输配阶段</c:v>
                </c:pt>
                <c:pt idx="2">
                  <c:v>NG液化阶段</c:v>
                </c:pt>
                <c:pt idx="3">
                  <c:v>LNG输配阶段</c:v>
                </c:pt>
                <c:pt idx="4">
                  <c:v>使用阶段</c:v>
                </c:pt>
              </c:strCache>
            </c:strRef>
          </c:cat>
          <c:val>
            <c:numRef>
              <c:f>'fuel summary'!$E$70:$I$70</c:f>
              <c:numCache>
                <c:formatCode>0.0</c:formatCode>
                <c:ptCount val="5"/>
                <c:pt idx="0">
                  <c:v>8.6172757468155936</c:v>
                </c:pt>
                <c:pt idx="1">
                  <c:v>1.0127108565691105</c:v>
                </c:pt>
                <c:pt idx="2">
                  <c:v>11.402692356527393</c:v>
                </c:pt>
                <c:pt idx="3">
                  <c:v>0.4816401677656395</c:v>
                </c:pt>
                <c:pt idx="4">
                  <c:v>57.122999999999998</c:v>
                </c:pt>
              </c:numCache>
            </c:numRef>
          </c:val>
        </c:ser>
        <c:overlap val="100"/>
        <c:axId val="152158976"/>
        <c:axId val="152160512"/>
      </c:barChart>
      <c:catAx>
        <c:axId val="152158976"/>
        <c:scaling>
          <c:orientation val="minMax"/>
        </c:scaling>
        <c:axPos val="b"/>
        <c:numFmt formatCode="General" sourceLinked="1"/>
        <c:tickLblPos val="nextTo"/>
        <c:crossAx val="152160512"/>
        <c:crosses val="autoZero"/>
        <c:auto val="1"/>
        <c:lblAlgn val="ctr"/>
        <c:lblOffset val="100"/>
      </c:catAx>
      <c:valAx>
        <c:axId val="152160512"/>
        <c:scaling>
          <c:orientation val="minMax"/>
        </c:scaling>
        <c:axPos val="l"/>
        <c:majorGridlines/>
        <c:numFmt formatCode="#,##0;[Red]\-#,##0" sourceLinked="0"/>
        <c:tickLblPos val="nextTo"/>
        <c:crossAx val="152158976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800" b="1" i="0" u="none" strike="noStrike" baseline="0"/>
              <a:t>Life cycle  </a:t>
            </a:r>
            <a:r>
              <a:rPr lang="en-US" altLang="en-US"/>
              <a:t>GHG emissions</a:t>
            </a:r>
          </a:p>
        </c:rich>
      </c:tx>
    </c:title>
    <c:plotArea>
      <c:layout>
        <c:manualLayout>
          <c:layoutTarget val="inner"/>
          <c:xMode val="edge"/>
          <c:yMode val="edge"/>
          <c:x val="9.8453018488784627E-2"/>
          <c:y val="0.15873065082667123"/>
          <c:w val="0.87904480793558182"/>
          <c:h val="0.43809659628161191"/>
        </c:manualLayout>
      </c:layout>
      <c:barChart>
        <c:barDir val="col"/>
        <c:grouping val="clustered"/>
        <c:ser>
          <c:idx val="0"/>
          <c:order val="0"/>
          <c:tx>
            <c:strRef>
              <c:f>WTPs!$G$1</c:f>
              <c:strCache>
                <c:ptCount val="1"/>
                <c:pt idx="0">
                  <c:v>GHG</c:v>
                </c:pt>
              </c:strCache>
            </c:strRef>
          </c:tx>
          <c:cat>
            <c:strRef>
              <c:f>WTPs!$A$5:$A$34</c:f>
              <c:strCache>
                <c:ptCount val="30"/>
                <c:pt idx="0">
                  <c:v>Gasoline</c:v>
                </c:pt>
                <c:pt idx="1">
                  <c:v>Diesel</c:v>
                </c:pt>
                <c:pt idx="2">
                  <c:v>CNG</c:v>
                </c:pt>
                <c:pt idx="3">
                  <c:v>LNG</c:v>
                </c:pt>
                <c:pt idx="4">
                  <c:v>GTL</c:v>
                </c:pt>
                <c:pt idx="5">
                  <c:v>CTL</c:v>
                </c:pt>
                <c:pt idx="6">
                  <c:v>CTL(2)</c:v>
                </c:pt>
                <c:pt idx="7">
                  <c:v>CTL+CCS</c:v>
                </c:pt>
                <c:pt idx="8">
                  <c:v>CTL+CCS (2)</c:v>
                </c:pt>
                <c:pt idx="10">
                  <c:v>Grid electricity</c:v>
                </c:pt>
                <c:pt idx="11">
                  <c:v>North China</c:v>
                </c:pt>
                <c:pt idx="12">
                  <c:v>South China</c:v>
                </c:pt>
                <c:pt idx="14">
                  <c:v>PV power(Best) </c:v>
                </c:pt>
                <c:pt idx="15">
                  <c:v>PV power(Ave) </c:v>
                </c:pt>
                <c:pt idx="16">
                  <c:v>PV power(Worst)</c:v>
                </c:pt>
                <c:pt idx="18">
                  <c:v>SC coal to power</c:v>
                </c:pt>
                <c:pt idx="19">
                  <c:v>SC+CCS</c:v>
                </c:pt>
                <c:pt idx="21">
                  <c:v>USC coal to power</c:v>
                </c:pt>
                <c:pt idx="22">
                  <c:v>USC+CCS</c:v>
                </c:pt>
                <c:pt idx="23">
                  <c:v>IGCC</c:v>
                </c:pt>
                <c:pt idx="24">
                  <c:v>IGCC+CCS</c:v>
                </c:pt>
                <c:pt idx="26">
                  <c:v>SNG</c:v>
                </c:pt>
                <c:pt idx="27">
                  <c:v>SNG (2)</c:v>
                </c:pt>
                <c:pt idx="28">
                  <c:v>SNG+CCS</c:v>
                </c:pt>
                <c:pt idx="29">
                  <c:v>SNG+CCS (2)</c:v>
                </c:pt>
              </c:strCache>
            </c:strRef>
          </c:cat>
          <c:val>
            <c:numRef>
              <c:f>WTPs!$G$5:$G$34</c:f>
              <c:numCache>
                <c:formatCode>0_ </c:formatCode>
                <c:ptCount val="30"/>
                <c:pt idx="0">
                  <c:v>91.001421303389492</c:v>
                </c:pt>
                <c:pt idx="1">
                  <c:v>93.100430294232638</c:v>
                </c:pt>
                <c:pt idx="2">
                  <c:v>73.131630153330718</c:v>
                </c:pt>
                <c:pt idx="3">
                  <c:v>75.320969005514741</c:v>
                </c:pt>
                <c:pt idx="4">
                  <c:v>143.56466220472174</c:v>
                </c:pt>
                <c:pt idx="5" formatCode="0.00_ ">
                  <c:v>245.78480540695421</c:v>
                </c:pt>
                <c:pt idx="6">
                  <c:v>203.2270124684689</c:v>
                </c:pt>
                <c:pt idx="7">
                  <c:v>147.86915513347338</c:v>
                </c:pt>
                <c:pt idx="8">
                  <c:v>161.02116347110163</c:v>
                </c:pt>
                <c:pt idx="10">
                  <c:v>237.06320573794014</c:v>
                </c:pt>
                <c:pt idx="11" formatCode="0.00_ ">
                  <c:v>286.14744343342312</c:v>
                </c:pt>
                <c:pt idx="12" formatCode="0.00_ ">
                  <c:v>191.55034513441328</c:v>
                </c:pt>
                <c:pt idx="14" formatCode="0.00_ ">
                  <c:v>20.547014472913819</c:v>
                </c:pt>
                <c:pt idx="15" formatCode="0.00_ ">
                  <c:v>32.371115287127559</c:v>
                </c:pt>
                <c:pt idx="16" formatCode="0.00_ ">
                  <c:v>59.781552012878194</c:v>
                </c:pt>
                <c:pt idx="18">
                  <c:v>294.32118455752214</c:v>
                </c:pt>
                <c:pt idx="19">
                  <c:v>102.89448636282678</c:v>
                </c:pt>
                <c:pt idx="21">
                  <c:v>233.00427110803838</c:v>
                </c:pt>
                <c:pt idx="22">
                  <c:v>75.952754557518361</c:v>
                </c:pt>
                <c:pt idx="23">
                  <c:v>262.99491986451858</c:v>
                </c:pt>
                <c:pt idx="24">
                  <c:v>93.83350727337006</c:v>
                </c:pt>
                <c:pt idx="26">
                  <c:v>194.57123226816839</c:v>
                </c:pt>
                <c:pt idx="27">
                  <c:v>194.57123226816839</c:v>
                </c:pt>
                <c:pt idx="28">
                  <c:v>123.64441791053027</c:v>
                </c:pt>
                <c:pt idx="29">
                  <c:v>123.00648457569719</c:v>
                </c:pt>
              </c:numCache>
            </c:numRef>
          </c:val>
        </c:ser>
        <c:axId val="158842240"/>
        <c:axId val="158856320"/>
      </c:barChart>
      <c:catAx>
        <c:axId val="158842240"/>
        <c:scaling>
          <c:orientation val="minMax"/>
        </c:scaling>
        <c:axPos val="b"/>
        <c:numFmt formatCode="General" sourceLinked="1"/>
        <c:tickLblPos val="nextTo"/>
        <c:crossAx val="158856320"/>
        <c:crosses val="autoZero"/>
        <c:auto val="1"/>
        <c:lblAlgn val="ctr"/>
        <c:lblOffset val="100"/>
      </c:catAx>
      <c:valAx>
        <c:axId val="158856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 CO2,e /MJ</a:t>
                </a:r>
                <a:endParaRPr lang="zh-CN" altLang="en-US"/>
              </a:p>
            </c:rich>
          </c:tx>
        </c:title>
        <c:numFmt formatCode="0_ " sourceLinked="1"/>
        <c:tickLblPos val="nextTo"/>
        <c:crossAx val="158842240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0740740740740733E-2"/>
          <c:y val="4.9019607843137719E-2"/>
          <c:w val="0.61296296296295982"/>
          <c:h val="0.71568627450980671"/>
        </c:manualLayout>
      </c:layout>
      <c:barChart>
        <c:barDir val="col"/>
        <c:grouping val="stacked"/>
        <c:ser>
          <c:idx val="0"/>
          <c:order val="0"/>
          <c:tx>
            <c:strRef>
              <c:f>Water!$E$22</c:f>
              <c:strCache>
                <c:ptCount val="1"/>
                <c:pt idx="0">
                  <c:v>coal extraction</c:v>
                </c:pt>
              </c:strCache>
            </c:strRef>
          </c:tx>
          <c:cat>
            <c:strRef>
              <c:f>Water!$C$23:$D$34</c:f>
              <c:strCache>
                <c:ptCount val="12"/>
                <c:pt idx="0">
                  <c:v>subcritical</c:v>
                </c:pt>
                <c:pt idx="1">
                  <c:v>+CCS</c:v>
                </c:pt>
                <c:pt idx="2">
                  <c:v>ultracritical</c:v>
                </c:pt>
                <c:pt idx="3">
                  <c:v>+CCS</c:v>
                </c:pt>
                <c:pt idx="4">
                  <c:v>IGCC</c:v>
                </c:pt>
                <c:pt idx="5">
                  <c:v>+CCS</c:v>
                </c:pt>
                <c:pt idx="6">
                  <c:v>IGCC(Best)</c:v>
                </c:pt>
                <c:pt idx="7">
                  <c:v>+CCS</c:v>
                </c:pt>
                <c:pt idx="8">
                  <c:v>CtL</c:v>
                </c:pt>
                <c:pt idx="9">
                  <c:v>+CCS</c:v>
                </c:pt>
                <c:pt idx="10">
                  <c:v>SNG</c:v>
                </c:pt>
                <c:pt idx="11">
                  <c:v>+CCS</c:v>
                </c:pt>
              </c:strCache>
            </c:strRef>
          </c:cat>
          <c:val>
            <c:numRef>
              <c:f>Water!$E$23:$E$34</c:f>
              <c:numCache>
                <c:formatCode>0.000_ </c:formatCode>
                <c:ptCount val="12"/>
                <c:pt idx="0">
                  <c:v>5.5401662049861496E-3</c:v>
                </c:pt>
                <c:pt idx="1">
                  <c:v>7.5471698113207548E-3</c:v>
                </c:pt>
                <c:pt idx="2">
                  <c:v>4.3859649122807015E-3</c:v>
                </c:pt>
                <c:pt idx="3">
                  <c:v>5.5710306406685246E-3</c:v>
                </c:pt>
                <c:pt idx="4">
                  <c:v>4.9504950495049506E-3</c:v>
                </c:pt>
                <c:pt idx="5">
                  <c:v>6.0975609756097572E-3</c:v>
                </c:pt>
                <c:pt idx="6">
                  <c:v>4.6296296296296294E-3</c:v>
                </c:pt>
                <c:pt idx="7">
                  <c:v>5.4945054945054949E-3</c:v>
                </c:pt>
                <c:pt idx="8">
                  <c:v>4.9140049140049139E-3</c:v>
                </c:pt>
                <c:pt idx="9">
                  <c:v>6.0606060606060606E-3</c:v>
                </c:pt>
                <c:pt idx="10">
                  <c:v>3.9215686274509803E-3</c:v>
                </c:pt>
                <c:pt idx="11">
                  <c:v>3.9215686274509803E-3</c:v>
                </c:pt>
              </c:numCache>
            </c:numRef>
          </c:val>
        </c:ser>
        <c:ser>
          <c:idx val="1"/>
          <c:order val="1"/>
          <c:tx>
            <c:strRef>
              <c:f>Water!$F$22</c:f>
              <c:strCache>
                <c:ptCount val="1"/>
                <c:pt idx="0">
                  <c:v>coal washing</c:v>
                </c:pt>
              </c:strCache>
            </c:strRef>
          </c:tx>
          <c:cat>
            <c:strRef>
              <c:f>Water!$C$23:$D$34</c:f>
              <c:strCache>
                <c:ptCount val="12"/>
                <c:pt idx="0">
                  <c:v>subcritical</c:v>
                </c:pt>
                <c:pt idx="1">
                  <c:v>+CCS</c:v>
                </c:pt>
                <c:pt idx="2">
                  <c:v>ultracritical</c:v>
                </c:pt>
                <c:pt idx="3">
                  <c:v>+CCS</c:v>
                </c:pt>
                <c:pt idx="4">
                  <c:v>IGCC</c:v>
                </c:pt>
                <c:pt idx="5">
                  <c:v>+CCS</c:v>
                </c:pt>
                <c:pt idx="6">
                  <c:v>IGCC(Best)</c:v>
                </c:pt>
                <c:pt idx="7">
                  <c:v>+CCS</c:v>
                </c:pt>
                <c:pt idx="8">
                  <c:v>CtL</c:v>
                </c:pt>
                <c:pt idx="9">
                  <c:v>+CCS</c:v>
                </c:pt>
                <c:pt idx="10">
                  <c:v>SNG</c:v>
                </c:pt>
                <c:pt idx="11">
                  <c:v>+CCS</c:v>
                </c:pt>
              </c:strCache>
            </c:strRef>
          </c:cat>
          <c:val>
            <c:numRef>
              <c:f>Water!$F$23:$F$34</c:f>
              <c:numCache>
                <c:formatCode>0.000_ </c:formatCode>
                <c:ptCount val="12"/>
                <c:pt idx="0">
                  <c:v>0.13019390581717452</c:v>
                </c:pt>
                <c:pt idx="1">
                  <c:v>0.17735849056603775</c:v>
                </c:pt>
                <c:pt idx="2">
                  <c:v>0.10307017543859649</c:v>
                </c:pt>
                <c:pt idx="3">
                  <c:v>0.13091922005571033</c:v>
                </c:pt>
                <c:pt idx="4">
                  <c:v>0.11633663366336634</c:v>
                </c:pt>
                <c:pt idx="5">
                  <c:v>0.14329268292682928</c:v>
                </c:pt>
                <c:pt idx="6">
                  <c:v>0.10879629629629629</c:v>
                </c:pt>
                <c:pt idx="7">
                  <c:v>0.12912087912087913</c:v>
                </c:pt>
                <c:pt idx="8">
                  <c:v>0.11547911547911548</c:v>
                </c:pt>
                <c:pt idx="9">
                  <c:v>0.14242424242424243</c:v>
                </c:pt>
                <c:pt idx="10">
                  <c:v>9.2156862745098045E-2</c:v>
                </c:pt>
                <c:pt idx="11">
                  <c:v>9.2156862745098045E-2</c:v>
                </c:pt>
              </c:numCache>
            </c:numRef>
          </c:val>
        </c:ser>
        <c:ser>
          <c:idx val="2"/>
          <c:order val="2"/>
          <c:tx>
            <c:strRef>
              <c:f>Water!$G$22</c:f>
              <c:strCache>
                <c:ptCount val="1"/>
                <c:pt idx="0">
                  <c:v>powerplant</c:v>
                </c:pt>
              </c:strCache>
            </c:strRef>
          </c:tx>
          <c:cat>
            <c:strRef>
              <c:f>Water!$C$23:$D$34</c:f>
              <c:strCache>
                <c:ptCount val="12"/>
                <c:pt idx="0">
                  <c:v>subcritical</c:v>
                </c:pt>
                <c:pt idx="1">
                  <c:v>+CCS</c:v>
                </c:pt>
                <c:pt idx="2">
                  <c:v>ultracritical</c:v>
                </c:pt>
                <c:pt idx="3">
                  <c:v>+CCS</c:v>
                </c:pt>
                <c:pt idx="4">
                  <c:v>IGCC</c:v>
                </c:pt>
                <c:pt idx="5">
                  <c:v>+CCS</c:v>
                </c:pt>
                <c:pt idx="6">
                  <c:v>IGCC(Best)</c:v>
                </c:pt>
                <c:pt idx="7">
                  <c:v>+CCS</c:v>
                </c:pt>
                <c:pt idx="8">
                  <c:v>CtL</c:v>
                </c:pt>
                <c:pt idx="9">
                  <c:v>+CCS</c:v>
                </c:pt>
                <c:pt idx="10">
                  <c:v>SNG</c:v>
                </c:pt>
                <c:pt idx="11">
                  <c:v>+CCS</c:v>
                </c:pt>
              </c:strCache>
            </c:strRef>
          </c:cat>
          <c:val>
            <c:numRef>
              <c:f>Water!$G$23:$G$34</c:f>
              <c:numCache>
                <c:formatCode>General</c:formatCode>
                <c:ptCount val="12"/>
                <c:pt idx="0">
                  <c:v>0.68</c:v>
                </c:pt>
                <c:pt idx="1">
                  <c:v>1.31</c:v>
                </c:pt>
                <c:pt idx="2">
                  <c:v>0.51</c:v>
                </c:pt>
                <c:pt idx="3">
                  <c:v>0.93</c:v>
                </c:pt>
                <c:pt idx="4">
                  <c:v>0.32</c:v>
                </c:pt>
                <c:pt idx="5">
                  <c:v>0.57999999999999996</c:v>
                </c:pt>
                <c:pt idx="6">
                  <c:v>0.39</c:v>
                </c:pt>
                <c:pt idx="7">
                  <c:v>0.72</c:v>
                </c:pt>
                <c:pt idx="8">
                  <c:v>0.16</c:v>
                </c:pt>
                <c:pt idx="9">
                  <c:v>0.24</c:v>
                </c:pt>
                <c:pt idx="10">
                  <c:v>0.25</c:v>
                </c:pt>
                <c:pt idx="11">
                  <c:v>0.24</c:v>
                </c:pt>
              </c:numCache>
            </c:numRef>
          </c:val>
        </c:ser>
        <c:overlap val="100"/>
        <c:axId val="159341952"/>
        <c:axId val="159347840"/>
      </c:barChart>
      <c:lineChart>
        <c:grouping val="standard"/>
        <c:ser>
          <c:idx val="3"/>
          <c:order val="3"/>
          <c:tx>
            <c:strRef>
              <c:f>Water!$N$22</c:f>
              <c:strCache>
                <c:ptCount val="1"/>
                <c:pt idx="0">
                  <c:v>lower level</c:v>
                </c:pt>
              </c:strCache>
            </c:strRef>
          </c:tx>
          <c:marker>
            <c:symbol val="none"/>
          </c:marker>
          <c:val>
            <c:numRef>
              <c:f>Water!$N$23:$N$34</c:f>
              <c:numCache>
                <c:formatCode>0.000_ </c:formatCode>
                <c:ptCount val="12"/>
                <c:pt idx="0">
                  <c:v>0.81573407202216075</c:v>
                </c:pt>
                <c:pt idx="1">
                  <c:v>1.4949056603773585</c:v>
                </c:pt>
                <c:pt idx="2">
                  <c:v>0.61470085470085467</c:v>
                </c:pt>
                <c:pt idx="3">
                  <c:v>1.0562886597938146</c:v>
                </c:pt>
                <c:pt idx="4">
                  <c:v>0.43212814645308928</c:v>
                </c:pt>
                <c:pt idx="5">
                  <c:v>0.71066666666666656</c:v>
                </c:pt>
                <c:pt idx="8">
                  <c:v>0.28039312039312037</c:v>
                </c:pt>
                <c:pt idx="9">
                  <c:v>0.38848484848484849</c:v>
                </c:pt>
                <c:pt idx="10">
                  <c:v>0.34607843137254901</c:v>
                </c:pt>
                <c:pt idx="11">
                  <c:v>0.336078431372549</c:v>
                </c:pt>
              </c:numCache>
            </c:numRef>
          </c:val>
        </c:ser>
        <c:marker val="1"/>
        <c:axId val="159341952"/>
        <c:axId val="159347840"/>
      </c:lineChart>
      <c:catAx>
        <c:axId val="159341952"/>
        <c:scaling>
          <c:orientation val="minMax"/>
        </c:scaling>
        <c:axPos val="b"/>
        <c:numFmt formatCode="General" sourceLinked="1"/>
        <c:tickLblPos val="nextTo"/>
        <c:crossAx val="159347840"/>
        <c:crosses val="autoZero"/>
        <c:auto val="1"/>
        <c:lblAlgn val="ctr"/>
        <c:lblOffset val="100"/>
      </c:catAx>
      <c:valAx>
        <c:axId val="159347840"/>
        <c:scaling>
          <c:orientation val="minMax"/>
        </c:scaling>
        <c:axPos val="l"/>
        <c:majorGridlines/>
        <c:numFmt formatCode="0.000_ " sourceLinked="1"/>
        <c:tickLblPos val="nextTo"/>
        <c:crossAx val="159341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814950908914402"/>
          <c:y val="0.3333343626164389"/>
          <c:w val="0.22222261106250607"/>
          <c:h val="0.31372651947918395"/>
        </c:manualLayout>
      </c:layout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FE</a:t>
            </a:r>
            <a:endParaRPr lang="zh-CN" altLang="en-US"/>
          </a:p>
        </c:rich>
      </c:tx>
    </c:title>
    <c:plotArea>
      <c:layout>
        <c:manualLayout>
          <c:layoutTarget val="inner"/>
          <c:xMode val="edge"/>
          <c:yMode val="edge"/>
          <c:x val="0.33703764655245688"/>
          <c:y val="0.24074161147862949"/>
          <c:w val="0.325926515347434"/>
          <c:h val="0.65185420954213769"/>
        </c:manualLayout>
      </c:layout>
      <c:pieChart>
        <c:varyColors val="1"/>
        <c:ser>
          <c:idx val="0"/>
          <c:order val="0"/>
          <c:dLbls>
            <c:numFmt formatCode="0.0%" sourceLinked="0"/>
            <c:showCatName val="1"/>
            <c:showPercent val="1"/>
            <c:showLeaderLines val="1"/>
          </c:dLbls>
          <c:cat>
            <c:strRef>
              <c:f>PV!$A$29:$A$35</c:f>
              <c:strCache>
                <c:ptCount val="7"/>
                <c:pt idx="0">
                  <c:v>Silicon production</c:v>
                </c:pt>
                <c:pt idx="1">
                  <c:v>Polysilicon production</c:v>
                </c:pt>
                <c:pt idx="2">
                  <c:v>Cells production</c:v>
                </c:pt>
                <c:pt idx="3">
                  <c:v>Package</c:v>
                </c:pt>
                <c:pt idx="4">
                  <c:v>Auxililary system production</c:v>
                </c:pt>
                <c:pt idx="5">
                  <c:v>Material used in process</c:v>
                </c:pt>
                <c:pt idx="6">
                  <c:v>System transportation</c:v>
                </c:pt>
              </c:strCache>
            </c:strRef>
          </c:cat>
          <c:val>
            <c:numRef>
              <c:f>PV!$D$29:$D$35</c:f>
              <c:numCache>
                <c:formatCode>0_ </c:formatCode>
                <c:ptCount val="7"/>
                <c:pt idx="0">
                  <c:v>1717.9897959183675</c:v>
                </c:pt>
                <c:pt idx="1">
                  <c:v>18740.929251700683</c:v>
                </c:pt>
                <c:pt idx="2">
                  <c:v>8547.66</c:v>
                </c:pt>
                <c:pt idx="3">
                  <c:v>1554.1200000000001</c:v>
                </c:pt>
                <c:pt idx="4">
                  <c:v>1554.1200000000001</c:v>
                </c:pt>
                <c:pt idx="5">
                  <c:v>7635.9096000000009</c:v>
                </c:pt>
                <c:pt idx="6">
                  <c:v>151.16220000000001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GHG</a:t>
            </a:r>
            <a:endParaRPr lang="zh-CN" altLang="en-US"/>
          </a:p>
        </c:rich>
      </c:tx>
    </c:title>
    <c:plotArea>
      <c:layout>
        <c:manualLayout>
          <c:layoutTarget val="inner"/>
          <c:xMode val="edge"/>
          <c:yMode val="edge"/>
          <c:x val="0.33703764655245688"/>
          <c:y val="0.24074161147862949"/>
          <c:w val="0.325926515347434"/>
          <c:h val="0.65185420954213769"/>
        </c:manualLayout>
      </c:layout>
      <c:pieChart>
        <c:varyColors val="1"/>
        <c:ser>
          <c:idx val="0"/>
          <c:order val="0"/>
          <c:dLbls>
            <c:numFmt formatCode="0.0%" sourceLinked="0"/>
            <c:showCatName val="1"/>
            <c:showPercent val="1"/>
            <c:showLeaderLines val="1"/>
          </c:dLbls>
          <c:cat>
            <c:strRef>
              <c:f>PV!$A$29:$A$35</c:f>
              <c:strCache>
                <c:ptCount val="7"/>
                <c:pt idx="0">
                  <c:v>Silicon production</c:v>
                </c:pt>
                <c:pt idx="1">
                  <c:v>Polysilicon production</c:v>
                </c:pt>
                <c:pt idx="2">
                  <c:v>Cells production</c:v>
                </c:pt>
                <c:pt idx="3">
                  <c:v>Package</c:v>
                </c:pt>
                <c:pt idx="4">
                  <c:v>Auxililary system production</c:v>
                </c:pt>
                <c:pt idx="5">
                  <c:v>Material used in process</c:v>
                </c:pt>
                <c:pt idx="6">
                  <c:v>System transportation</c:v>
                </c:pt>
              </c:strCache>
            </c:strRef>
          </c:cat>
          <c:val>
            <c:numRef>
              <c:f>PV!$E$29:$E$35</c:f>
              <c:numCache>
                <c:formatCode>0_ </c:formatCode>
                <c:ptCount val="7"/>
                <c:pt idx="0">
                  <c:v>177.70867346938778</c:v>
                </c:pt>
                <c:pt idx="1">
                  <c:v>1897.407993197279</c:v>
                </c:pt>
                <c:pt idx="2">
                  <c:v>884.1690000000001</c:v>
                </c:pt>
                <c:pt idx="3">
                  <c:v>160.75800000000001</c:v>
                </c:pt>
                <c:pt idx="4">
                  <c:v>160.75800000000001</c:v>
                </c:pt>
                <c:pt idx="5">
                  <c:v>789.85764000000006</c:v>
                </c:pt>
                <c:pt idx="6">
                  <c:v>11.888640000000001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5.5016181229773767E-2"/>
          <c:y val="7.1065989847716032E-2"/>
          <c:w val="0.91909385113268605"/>
          <c:h val="0.7461928934010178"/>
        </c:manualLayout>
      </c:layout>
      <c:barChart>
        <c:barDir val="col"/>
        <c:grouping val="stacked"/>
        <c:ser>
          <c:idx val="0"/>
          <c:order val="0"/>
          <c:dLbls>
            <c:showVal val="1"/>
          </c:dLbls>
          <c:cat>
            <c:strRef>
              <c:f>'fuel summary'!$E$74:$I$74</c:f>
              <c:strCache>
                <c:ptCount val="5"/>
                <c:pt idx="0">
                  <c:v>NG开采处理阶段</c:v>
                </c:pt>
                <c:pt idx="1">
                  <c:v>NG运输阶段</c:v>
                </c:pt>
                <c:pt idx="2">
                  <c:v>GTL生产</c:v>
                </c:pt>
                <c:pt idx="3">
                  <c:v>GTL输配阶段</c:v>
                </c:pt>
                <c:pt idx="4">
                  <c:v>使用阶段</c:v>
                </c:pt>
              </c:strCache>
            </c:strRef>
          </c:cat>
          <c:val>
            <c:numRef>
              <c:f>'fuel summary'!$E$83:$I$83</c:f>
              <c:numCache>
                <c:formatCode>0.0</c:formatCode>
                <c:ptCount val="5"/>
                <c:pt idx="0">
                  <c:v>11.489700995754127</c:v>
                </c:pt>
                <c:pt idx="1">
                  <c:v>9.0018742806143165E-2</c:v>
                </c:pt>
                <c:pt idx="2">
                  <c:v>59.023809283345258</c:v>
                </c:pt>
                <c:pt idx="3">
                  <c:v>0.36113318281622653</c:v>
                </c:pt>
                <c:pt idx="4">
                  <c:v>72.599999999999994</c:v>
                </c:pt>
              </c:numCache>
            </c:numRef>
          </c:val>
        </c:ser>
        <c:overlap val="100"/>
        <c:axId val="152389120"/>
        <c:axId val="152390656"/>
      </c:barChart>
      <c:catAx>
        <c:axId val="152389120"/>
        <c:scaling>
          <c:orientation val="minMax"/>
        </c:scaling>
        <c:axPos val="b"/>
        <c:numFmt formatCode="General" sourceLinked="1"/>
        <c:tickLblPos val="nextTo"/>
        <c:crossAx val="152390656"/>
        <c:crosses val="autoZero"/>
        <c:auto val="1"/>
        <c:lblAlgn val="ctr"/>
        <c:lblOffset val="100"/>
      </c:catAx>
      <c:valAx>
        <c:axId val="152390656"/>
        <c:scaling>
          <c:orientation val="minMax"/>
        </c:scaling>
        <c:axPos val="l"/>
        <c:majorGridlines/>
        <c:numFmt formatCode="#,##0;[Red]\-#,##0" sourceLinked="0"/>
        <c:tickLblPos val="nextTo"/>
        <c:crossAx val="152389120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5.492730210016155E-2"/>
          <c:y val="7.1065989847716032E-2"/>
          <c:w val="0.91922455573505657"/>
          <c:h val="0.7461928934010178"/>
        </c:manualLayout>
      </c:layout>
      <c:barChart>
        <c:barDir val="col"/>
        <c:grouping val="stacked"/>
        <c:ser>
          <c:idx val="0"/>
          <c:order val="0"/>
          <c:dLbls>
            <c:showVal val="1"/>
          </c:dLbls>
          <c:cat>
            <c:strRef>
              <c:f>'fuel summary'!$E$89:$I$89</c:f>
              <c:strCache>
                <c:ptCount val="5"/>
                <c:pt idx="0">
                  <c:v>原油开采处理</c:v>
                </c:pt>
                <c:pt idx="1">
                  <c:v>原油运输</c:v>
                </c:pt>
                <c:pt idx="2">
                  <c:v>柴油炼制</c:v>
                </c:pt>
                <c:pt idx="3">
                  <c:v>柴油输配</c:v>
                </c:pt>
                <c:pt idx="4">
                  <c:v>柴油使用</c:v>
                </c:pt>
              </c:strCache>
            </c:strRef>
          </c:cat>
          <c:val>
            <c:numRef>
              <c:f>'fuel summary'!$E$98:$I$98</c:f>
              <c:numCache>
                <c:formatCode>0.0</c:formatCode>
                <c:ptCount val="5"/>
                <c:pt idx="0">
                  <c:v>8.3887934180127317</c:v>
                </c:pt>
                <c:pt idx="1">
                  <c:v>1.5006720632324757</c:v>
                </c:pt>
                <c:pt idx="2">
                  <c:v>9.3306357235172435</c:v>
                </c:pt>
                <c:pt idx="3">
                  <c:v>0.95858663514955988</c:v>
                </c:pt>
                <c:pt idx="4">
                  <c:v>72.693677333333312</c:v>
                </c:pt>
              </c:numCache>
            </c:numRef>
          </c:val>
        </c:ser>
        <c:overlap val="100"/>
        <c:axId val="152430848"/>
        <c:axId val="152436736"/>
      </c:barChart>
      <c:catAx>
        <c:axId val="152430848"/>
        <c:scaling>
          <c:orientation val="minMax"/>
        </c:scaling>
        <c:axPos val="b"/>
        <c:numFmt formatCode="General" sourceLinked="1"/>
        <c:tickLblPos val="nextTo"/>
        <c:crossAx val="152436736"/>
        <c:crosses val="autoZero"/>
        <c:auto val="1"/>
        <c:lblAlgn val="ctr"/>
        <c:lblOffset val="100"/>
      </c:catAx>
      <c:valAx>
        <c:axId val="152436736"/>
        <c:scaling>
          <c:orientation val="minMax"/>
        </c:scaling>
        <c:axPos val="l"/>
        <c:majorGridlines/>
        <c:numFmt formatCode="#,##0;[Red]\-#,##0" sourceLinked="0"/>
        <c:tickLblPos val="nextTo"/>
        <c:crossAx val="152430848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5.5016181229773767E-2"/>
          <c:y val="7.1065989847716032E-2"/>
          <c:w val="0.91909385113268605"/>
          <c:h val="0.7461928934010178"/>
        </c:manualLayout>
      </c:layout>
      <c:barChart>
        <c:barDir val="col"/>
        <c:grouping val="stacked"/>
        <c:ser>
          <c:idx val="0"/>
          <c:order val="0"/>
          <c:dLbls>
            <c:showVal val="1"/>
          </c:dLbls>
          <c:cat>
            <c:strRef>
              <c:f>'fuel summary'!$E$102:$I$102</c:f>
              <c:strCache>
                <c:ptCount val="5"/>
                <c:pt idx="0">
                  <c:v>原油开采处理</c:v>
                </c:pt>
                <c:pt idx="1">
                  <c:v>原油运输</c:v>
                </c:pt>
                <c:pt idx="2">
                  <c:v>汽油炼制</c:v>
                </c:pt>
                <c:pt idx="3">
                  <c:v>汽油输配</c:v>
                </c:pt>
                <c:pt idx="4">
                  <c:v>汽油使用</c:v>
                </c:pt>
              </c:strCache>
            </c:strRef>
          </c:cat>
          <c:val>
            <c:numRef>
              <c:f>'fuel summary'!$E$111:$I$111</c:f>
              <c:numCache>
                <c:formatCode>0.0</c:formatCode>
                <c:ptCount val="5"/>
                <c:pt idx="0">
                  <c:v>8.4452836093798194</c:v>
                </c:pt>
                <c:pt idx="1">
                  <c:v>1.5107775990118193</c:v>
                </c:pt>
                <c:pt idx="2">
                  <c:v>9.8741679015862189</c:v>
                </c:pt>
                <c:pt idx="3">
                  <c:v>1.0133581338852193</c:v>
                </c:pt>
                <c:pt idx="4">
                  <c:v>69.914596000000003</c:v>
                </c:pt>
              </c:numCache>
            </c:numRef>
          </c:val>
        </c:ser>
        <c:overlap val="100"/>
        <c:axId val="152448000"/>
        <c:axId val="152462080"/>
      </c:barChart>
      <c:catAx>
        <c:axId val="152448000"/>
        <c:scaling>
          <c:orientation val="minMax"/>
        </c:scaling>
        <c:axPos val="b"/>
        <c:numFmt formatCode="General" sourceLinked="1"/>
        <c:tickLblPos val="nextTo"/>
        <c:crossAx val="152462080"/>
        <c:crosses val="autoZero"/>
        <c:auto val="1"/>
        <c:lblAlgn val="ctr"/>
        <c:lblOffset val="100"/>
      </c:catAx>
      <c:valAx>
        <c:axId val="152462080"/>
        <c:scaling>
          <c:orientation val="minMax"/>
        </c:scaling>
        <c:axPos val="l"/>
        <c:majorGridlines/>
        <c:numFmt formatCode="#,##0;[Red]\-#,##0" sourceLinked="0"/>
        <c:tickLblPos val="nextTo"/>
        <c:crossAx val="152448000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w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166</xdr:row>
      <xdr:rowOff>160020</xdr:rowOff>
    </xdr:from>
    <xdr:to>
      <xdr:col>11</xdr:col>
      <xdr:colOff>365760</xdr:colOff>
      <xdr:row>200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26</xdr:row>
      <xdr:rowOff>161925</xdr:rowOff>
    </xdr:from>
    <xdr:to>
      <xdr:col>7</xdr:col>
      <xdr:colOff>571500</xdr:colOff>
      <xdr:row>41</xdr:row>
      <xdr:rowOff>161925</xdr:rowOff>
    </xdr:to>
    <xdr:graphicFrame macro="">
      <xdr:nvGraphicFramePr>
        <xdr:cNvPr id="1102435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14</xdr:row>
      <xdr:rowOff>133350</xdr:rowOff>
    </xdr:from>
    <xdr:to>
      <xdr:col>17</xdr:col>
      <xdr:colOff>257175</xdr:colOff>
      <xdr:row>31</xdr:row>
      <xdr:rowOff>76200</xdr:rowOff>
    </xdr:to>
    <xdr:graphicFrame macro="">
      <xdr:nvGraphicFramePr>
        <xdr:cNvPr id="1102436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41</xdr:row>
      <xdr:rowOff>171450</xdr:rowOff>
    </xdr:from>
    <xdr:to>
      <xdr:col>18</xdr:col>
      <xdr:colOff>552450</xdr:colOff>
      <xdr:row>56</xdr:row>
      <xdr:rowOff>123825</xdr:rowOff>
    </xdr:to>
    <xdr:graphicFrame macro="">
      <xdr:nvGraphicFramePr>
        <xdr:cNvPr id="1102437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929640</xdr:colOff>
      <xdr:row>9</xdr:row>
      <xdr:rowOff>53340</xdr:rowOff>
    </xdr:from>
    <xdr:to>
      <xdr:col>8</xdr:col>
      <xdr:colOff>594360</xdr:colOff>
      <xdr:row>28</xdr:row>
      <xdr:rowOff>15240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8</xdr:row>
      <xdr:rowOff>22860</xdr:rowOff>
    </xdr:from>
    <xdr:to>
      <xdr:col>11</xdr:col>
      <xdr:colOff>320040</xdr:colOff>
      <xdr:row>23</xdr:row>
      <xdr:rowOff>22860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331470</xdr:colOff>
      <xdr:row>1</xdr:row>
      <xdr:rowOff>51436</xdr:rowOff>
    </xdr:from>
    <xdr:to>
      <xdr:col>63</xdr:col>
      <xdr:colOff>457200</xdr:colOff>
      <xdr:row>42</xdr:row>
      <xdr:rowOff>22861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171449</xdr:colOff>
      <xdr:row>47</xdr:row>
      <xdr:rowOff>47625</xdr:rowOff>
    </xdr:from>
    <xdr:to>
      <xdr:col>60</xdr:col>
      <xdr:colOff>38100</xdr:colOff>
      <xdr:row>89</xdr:row>
      <xdr:rowOff>142875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66675</xdr:colOff>
      <xdr:row>91</xdr:row>
      <xdr:rowOff>133350</xdr:rowOff>
    </xdr:from>
    <xdr:to>
      <xdr:col>60</xdr:col>
      <xdr:colOff>47625</xdr:colOff>
      <xdr:row>122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128</xdr:row>
      <xdr:rowOff>38100</xdr:rowOff>
    </xdr:from>
    <xdr:to>
      <xdr:col>60</xdr:col>
      <xdr:colOff>228600</xdr:colOff>
      <xdr:row>165</xdr:row>
      <xdr:rowOff>57150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135255</xdr:colOff>
      <xdr:row>0</xdr:row>
      <xdr:rowOff>0</xdr:rowOff>
    </xdr:from>
    <xdr:to>
      <xdr:col>28</xdr:col>
      <xdr:colOff>135255</xdr:colOff>
      <xdr:row>25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150494</xdr:colOff>
      <xdr:row>29</xdr:row>
      <xdr:rowOff>114298</xdr:rowOff>
    </xdr:from>
    <xdr:to>
      <xdr:col>28</xdr:col>
      <xdr:colOff>123825</xdr:colOff>
      <xdr:row>48</xdr:row>
      <xdr:rowOff>171449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285750</xdr:colOff>
      <xdr:row>0</xdr:row>
      <xdr:rowOff>0</xdr:rowOff>
    </xdr:from>
    <xdr:to>
      <xdr:col>18</xdr:col>
      <xdr:colOff>285750</xdr:colOff>
      <xdr:row>25</xdr:row>
      <xdr:rowOff>85725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409575</xdr:colOff>
      <xdr:row>30</xdr:row>
      <xdr:rowOff>95250</xdr:rowOff>
    </xdr:from>
    <xdr:to>
      <xdr:col>18</xdr:col>
      <xdr:colOff>382906</xdr:colOff>
      <xdr:row>49</xdr:row>
      <xdr:rowOff>152401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0</xdr:row>
      <xdr:rowOff>114300</xdr:rowOff>
    </xdr:from>
    <xdr:to>
      <xdr:col>19</xdr:col>
      <xdr:colOff>133350</xdr:colOff>
      <xdr:row>33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285749</xdr:colOff>
      <xdr:row>37</xdr:row>
      <xdr:rowOff>9525</xdr:rowOff>
    </xdr:from>
    <xdr:to>
      <xdr:col>19</xdr:col>
      <xdr:colOff>542924</xdr:colOff>
      <xdr:row>67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76199</xdr:rowOff>
    </xdr:from>
    <xdr:to>
      <xdr:col>19</xdr:col>
      <xdr:colOff>590550</xdr:colOff>
      <xdr:row>27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333374</xdr:colOff>
      <xdr:row>31</xdr:row>
      <xdr:rowOff>104774</xdr:rowOff>
    </xdr:from>
    <xdr:to>
      <xdr:col>19</xdr:col>
      <xdr:colOff>666749</xdr:colOff>
      <xdr:row>65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0</xdr:row>
      <xdr:rowOff>104775</xdr:rowOff>
    </xdr:from>
    <xdr:to>
      <xdr:col>19</xdr:col>
      <xdr:colOff>590550</xdr:colOff>
      <xdr:row>22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24</xdr:row>
      <xdr:rowOff>0</xdr:rowOff>
    </xdr:from>
    <xdr:to>
      <xdr:col>19</xdr:col>
      <xdr:colOff>581025</xdr:colOff>
      <xdr:row>46</xdr:row>
      <xdr:rowOff>152400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35</xdr:row>
      <xdr:rowOff>22861</xdr:rowOff>
    </xdr:from>
    <xdr:to>
      <xdr:col>21</xdr:col>
      <xdr:colOff>220980</xdr:colOff>
      <xdr:row>55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204469</xdr:colOff>
      <xdr:row>59</xdr:row>
      <xdr:rowOff>22861</xdr:rowOff>
    </xdr:from>
    <xdr:to>
      <xdr:col>21</xdr:col>
      <xdr:colOff>276860</xdr:colOff>
      <xdr:row>82</xdr:row>
      <xdr:rowOff>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0</xdr:row>
      <xdr:rowOff>175259</xdr:rowOff>
    </xdr:from>
    <xdr:to>
      <xdr:col>17</xdr:col>
      <xdr:colOff>312420</xdr:colOff>
      <xdr:row>16</xdr:row>
      <xdr:rowOff>160020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243841</xdr:colOff>
      <xdr:row>17</xdr:row>
      <xdr:rowOff>137160</xdr:rowOff>
    </xdr:from>
    <xdr:to>
      <xdr:col>17</xdr:col>
      <xdr:colOff>586741</xdr:colOff>
      <xdr:row>32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6</xdr:row>
      <xdr:rowOff>47625</xdr:rowOff>
    </xdr:from>
    <xdr:to>
      <xdr:col>21</xdr:col>
      <xdr:colOff>19050</xdr:colOff>
      <xdr:row>36</xdr:row>
      <xdr:rowOff>47625</xdr:rowOff>
    </xdr:to>
    <xdr:graphicFrame macro="">
      <xdr:nvGraphicFramePr>
        <xdr:cNvPr id="546676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37</xdr:row>
      <xdr:rowOff>114300</xdr:rowOff>
    </xdr:from>
    <xdr:to>
      <xdr:col>17</xdr:col>
      <xdr:colOff>485775</xdr:colOff>
      <xdr:row>55</xdr:row>
      <xdr:rowOff>9525</xdr:rowOff>
    </xdr:to>
    <xdr:graphicFrame macro="">
      <xdr:nvGraphicFramePr>
        <xdr:cNvPr id="546677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5</xdr:row>
      <xdr:rowOff>95250</xdr:rowOff>
    </xdr:from>
    <xdr:to>
      <xdr:col>16</xdr:col>
      <xdr:colOff>352425</xdr:colOff>
      <xdr:row>18</xdr:row>
      <xdr:rowOff>28575</xdr:rowOff>
    </xdr:to>
    <xdr:graphicFrame macro="">
      <xdr:nvGraphicFramePr>
        <xdr:cNvPr id="7208450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18</xdr:row>
      <xdr:rowOff>133350</xdr:rowOff>
    </xdr:from>
    <xdr:to>
      <xdr:col>19</xdr:col>
      <xdr:colOff>219075</xdr:colOff>
      <xdr:row>31</xdr:row>
      <xdr:rowOff>133350</xdr:rowOff>
    </xdr:to>
    <xdr:graphicFrame macro="">
      <xdr:nvGraphicFramePr>
        <xdr:cNvPr id="7208451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33</xdr:row>
      <xdr:rowOff>38100</xdr:rowOff>
    </xdr:from>
    <xdr:to>
      <xdr:col>19</xdr:col>
      <xdr:colOff>200025</xdr:colOff>
      <xdr:row>44</xdr:row>
      <xdr:rowOff>19050</xdr:rowOff>
    </xdr:to>
    <xdr:graphicFrame macro="">
      <xdr:nvGraphicFramePr>
        <xdr:cNvPr id="7208452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390525</xdr:colOff>
      <xdr:row>46</xdr:row>
      <xdr:rowOff>28575</xdr:rowOff>
    </xdr:from>
    <xdr:to>
      <xdr:col>19</xdr:col>
      <xdr:colOff>104775</xdr:colOff>
      <xdr:row>57</xdr:row>
      <xdr:rowOff>19050</xdr:rowOff>
    </xdr:to>
    <xdr:graphicFrame macro="">
      <xdr:nvGraphicFramePr>
        <xdr:cNvPr id="7208453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60</xdr:row>
      <xdr:rowOff>0</xdr:rowOff>
    </xdr:from>
    <xdr:to>
      <xdr:col>19</xdr:col>
      <xdr:colOff>400050</xdr:colOff>
      <xdr:row>70</xdr:row>
      <xdr:rowOff>161925</xdr:rowOff>
    </xdr:to>
    <xdr:graphicFrame macro="">
      <xdr:nvGraphicFramePr>
        <xdr:cNvPr id="7208454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619125</xdr:colOff>
      <xdr:row>72</xdr:row>
      <xdr:rowOff>66675</xdr:rowOff>
    </xdr:from>
    <xdr:to>
      <xdr:col>19</xdr:col>
      <xdr:colOff>333375</xdr:colOff>
      <xdr:row>83</xdr:row>
      <xdr:rowOff>57150</xdr:rowOff>
    </xdr:to>
    <xdr:graphicFrame macro="">
      <xdr:nvGraphicFramePr>
        <xdr:cNvPr id="7208455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476250</xdr:colOff>
      <xdr:row>87</xdr:row>
      <xdr:rowOff>0</xdr:rowOff>
    </xdr:from>
    <xdr:to>
      <xdr:col>19</xdr:col>
      <xdr:colOff>200025</xdr:colOff>
      <xdr:row>97</xdr:row>
      <xdr:rowOff>161925</xdr:rowOff>
    </xdr:to>
    <xdr:graphicFrame macro="">
      <xdr:nvGraphicFramePr>
        <xdr:cNvPr id="7208456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101</xdr:row>
      <xdr:rowOff>0</xdr:rowOff>
    </xdr:from>
    <xdr:to>
      <xdr:col>19</xdr:col>
      <xdr:colOff>400050</xdr:colOff>
      <xdr:row>111</xdr:row>
      <xdr:rowOff>161925</xdr:rowOff>
    </xdr:to>
    <xdr:graphicFrame macro="">
      <xdr:nvGraphicFramePr>
        <xdr:cNvPr id="7208457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561975</xdr:colOff>
      <xdr:row>113</xdr:row>
      <xdr:rowOff>38100</xdr:rowOff>
    </xdr:from>
    <xdr:to>
      <xdr:col>19</xdr:col>
      <xdr:colOff>285750</xdr:colOff>
      <xdr:row>124</xdr:row>
      <xdr:rowOff>28575</xdr:rowOff>
    </xdr:to>
    <xdr:graphicFrame macro="">
      <xdr:nvGraphicFramePr>
        <xdr:cNvPr id="7208458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647700</xdr:colOff>
      <xdr:row>125</xdr:row>
      <xdr:rowOff>95250</xdr:rowOff>
    </xdr:from>
    <xdr:to>
      <xdr:col>21</xdr:col>
      <xdr:colOff>371475</xdr:colOff>
      <xdr:row>136</xdr:row>
      <xdr:rowOff>95250</xdr:rowOff>
    </xdr:to>
    <xdr:graphicFrame macro="">
      <xdr:nvGraphicFramePr>
        <xdr:cNvPr id="7208459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222885</xdr:colOff>
      <xdr:row>125</xdr:row>
      <xdr:rowOff>95250</xdr:rowOff>
    </xdr:from>
    <xdr:to>
      <xdr:col>29</xdr:col>
      <xdr:colOff>489585</xdr:colOff>
      <xdr:row>140</xdr:row>
      <xdr:rowOff>95250</xdr:rowOff>
    </xdr:to>
    <xdr:graphicFrame macro="">
      <xdr:nvGraphicFramePr>
        <xdr:cNvPr id="7208460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17</xdr:row>
      <xdr:rowOff>95250</xdr:rowOff>
    </xdr:from>
    <xdr:to>
      <xdr:col>24</xdr:col>
      <xdr:colOff>485775</xdr:colOff>
      <xdr:row>34</xdr:row>
      <xdr:rowOff>95250</xdr:rowOff>
    </xdr:to>
    <xdr:graphicFrame macro="">
      <xdr:nvGraphicFramePr>
        <xdr:cNvPr id="659859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37</xdr:row>
      <xdr:rowOff>66675</xdr:rowOff>
    </xdr:from>
    <xdr:to>
      <xdr:col>8</xdr:col>
      <xdr:colOff>390525</xdr:colOff>
      <xdr:row>52</xdr:row>
      <xdr:rowOff>66675</xdr:rowOff>
    </xdr:to>
    <xdr:graphicFrame macro="">
      <xdr:nvGraphicFramePr>
        <xdr:cNvPr id="665291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37</xdr:row>
      <xdr:rowOff>76200</xdr:rowOff>
    </xdr:from>
    <xdr:to>
      <xdr:col>16</xdr:col>
      <xdr:colOff>161925</xdr:colOff>
      <xdr:row>52</xdr:row>
      <xdr:rowOff>76200</xdr:rowOff>
    </xdr:to>
    <xdr:graphicFrame macro="">
      <xdr:nvGraphicFramePr>
        <xdr:cNvPr id="665292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25</xdr:row>
      <xdr:rowOff>133350</xdr:rowOff>
    </xdr:from>
    <xdr:to>
      <xdr:col>13</xdr:col>
      <xdr:colOff>352425</xdr:colOff>
      <xdr:row>43</xdr:row>
      <xdr:rowOff>66675</xdr:rowOff>
    </xdr:to>
    <xdr:graphicFrame macro="">
      <xdr:nvGraphicFramePr>
        <xdr:cNvPr id="5736955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23</xdr:col>
      <xdr:colOff>38100</xdr:colOff>
      <xdr:row>39</xdr:row>
      <xdr:rowOff>95250</xdr:rowOff>
    </xdr:to>
    <xdr:graphicFrame macro="">
      <xdr:nvGraphicFramePr>
        <xdr:cNvPr id="5736956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304800</xdr:colOff>
      <xdr:row>25</xdr:row>
      <xdr:rowOff>0</xdr:rowOff>
    </xdr:from>
    <xdr:to>
      <xdr:col>31</xdr:col>
      <xdr:colOff>171450</xdr:colOff>
      <xdr:row>42</xdr:row>
      <xdr:rowOff>161925</xdr:rowOff>
    </xdr:to>
    <xdr:graphicFrame macro="">
      <xdr:nvGraphicFramePr>
        <xdr:cNvPr id="5736957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47625</xdr:colOff>
      <xdr:row>26</xdr:row>
      <xdr:rowOff>161925</xdr:rowOff>
    </xdr:from>
    <xdr:to>
      <xdr:col>59</xdr:col>
      <xdr:colOff>133350</xdr:colOff>
      <xdr:row>45</xdr:row>
      <xdr:rowOff>28575</xdr:rowOff>
    </xdr:to>
    <xdr:graphicFrame macro="">
      <xdr:nvGraphicFramePr>
        <xdr:cNvPr id="5736958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342900</xdr:colOff>
      <xdr:row>25</xdr:row>
      <xdr:rowOff>57150</xdr:rowOff>
    </xdr:from>
    <xdr:to>
      <xdr:col>39</xdr:col>
      <xdr:colOff>95250</xdr:colOff>
      <xdr:row>42</xdr:row>
      <xdr:rowOff>152400</xdr:rowOff>
    </xdr:to>
    <xdr:graphicFrame macro="">
      <xdr:nvGraphicFramePr>
        <xdr:cNvPr id="5736959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485775</xdr:colOff>
      <xdr:row>26</xdr:row>
      <xdr:rowOff>28575</xdr:rowOff>
    </xdr:from>
    <xdr:to>
      <xdr:col>48</xdr:col>
      <xdr:colOff>447675</xdr:colOff>
      <xdr:row>44</xdr:row>
      <xdr:rowOff>9525</xdr:rowOff>
    </xdr:to>
    <xdr:graphicFrame macro="">
      <xdr:nvGraphicFramePr>
        <xdr:cNvPr id="5736960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26</xdr:row>
      <xdr:rowOff>171450</xdr:rowOff>
    </xdr:from>
    <xdr:to>
      <xdr:col>14</xdr:col>
      <xdr:colOff>0</xdr:colOff>
      <xdr:row>44</xdr:row>
      <xdr:rowOff>95250</xdr:rowOff>
    </xdr:to>
    <xdr:graphicFrame macro="">
      <xdr:nvGraphicFramePr>
        <xdr:cNvPr id="4102837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23</xdr:col>
      <xdr:colOff>38100</xdr:colOff>
      <xdr:row>39</xdr:row>
      <xdr:rowOff>95250</xdr:rowOff>
    </xdr:to>
    <xdr:graphicFrame macro="">
      <xdr:nvGraphicFramePr>
        <xdr:cNvPr id="4102838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352425</xdr:colOff>
      <xdr:row>24</xdr:row>
      <xdr:rowOff>161925</xdr:rowOff>
    </xdr:from>
    <xdr:to>
      <xdr:col>31</xdr:col>
      <xdr:colOff>219075</xdr:colOff>
      <xdr:row>42</xdr:row>
      <xdr:rowOff>142875</xdr:rowOff>
    </xdr:to>
    <xdr:graphicFrame macro="">
      <xdr:nvGraphicFramePr>
        <xdr:cNvPr id="4102839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342900</xdr:colOff>
      <xdr:row>25</xdr:row>
      <xdr:rowOff>57150</xdr:rowOff>
    </xdr:from>
    <xdr:to>
      <xdr:col>39</xdr:col>
      <xdr:colOff>95250</xdr:colOff>
      <xdr:row>42</xdr:row>
      <xdr:rowOff>152400</xdr:rowOff>
    </xdr:to>
    <xdr:graphicFrame macro="">
      <xdr:nvGraphicFramePr>
        <xdr:cNvPr id="4102841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485775</xdr:colOff>
      <xdr:row>26</xdr:row>
      <xdr:rowOff>28575</xdr:rowOff>
    </xdr:from>
    <xdr:to>
      <xdr:col>48</xdr:col>
      <xdr:colOff>447675</xdr:colOff>
      <xdr:row>44</xdr:row>
      <xdr:rowOff>9525</xdr:rowOff>
    </xdr:to>
    <xdr:graphicFrame macro="">
      <xdr:nvGraphicFramePr>
        <xdr:cNvPr id="410284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21</xdr:row>
      <xdr:rowOff>142875</xdr:rowOff>
    </xdr:from>
    <xdr:to>
      <xdr:col>13</xdr:col>
      <xdr:colOff>609600</xdr:colOff>
      <xdr:row>39</xdr:row>
      <xdr:rowOff>76200</xdr:rowOff>
    </xdr:to>
    <xdr:graphicFrame macro="">
      <xdr:nvGraphicFramePr>
        <xdr:cNvPr id="4142767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23</xdr:col>
      <xdr:colOff>38100</xdr:colOff>
      <xdr:row>39</xdr:row>
      <xdr:rowOff>95250</xdr:rowOff>
    </xdr:to>
    <xdr:graphicFrame macro="">
      <xdr:nvGraphicFramePr>
        <xdr:cNvPr id="4142768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304800</xdr:colOff>
      <xdr:row>25</xdr:row>
      <xdr:rowOff>0</xdr:rowOff>
    </xdr:from>
    <xdr:to>
      <xdr:col>31</xdr:col>
      <xdr:colOff>171450</xdr:colOff>
      <xdr:row>42</xdr:row>
      <xdr:rowOff>161925</xdr:rowOff>
    </xdr:to>
    <xdr:graphicFrame macro="">
      <xdr:nvGraphicFramePr>
        <xdr:cNvPr id="4142769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342900</xdr:colOff>
      <xdr:row>25</xdr:row>
      <xdr:rowOff>57150</xdr:rowOff>
    </xdr:from>
    <xdr:to>
      <xdr:col>39</xdr:col>
      <xdr:colOff>95250</xdr:colOff>
      <xdr:row>42</xdr:row>
      <xdr:rowOff>152400</xdr:rowOff>
    </xdr:to>
    <xdr:graphicFrame macro="">
      <xdr:nvGraphicFramePr>
        <xdr:cNvPr id="4142771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485775</xdr:colOff>
      <xdr:row>26</xdr:row>
      <xdr:rowOff>28575</xdr:rowOff>
    </xdr:from>
    <xdr:to>
      <xdr:col>48</xdr:col>
      <xdr:colOff>447675</xdr:colOff>
      <xdr:row>44</xdr:row>
      <xdr:rowOff>9525</xdr:rowOff>
    </xdr:to>
    <xdr:graphicFrame macro="">
      <xdr:nvGraphicFramePr>
        <xdr:cNvPr id="414277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47625</xdr:rowOff>
    </xdr:from>
    <xdr:to>
      <xdr:col>17</xdr:col>
      <xdr:colOff>228600</xdr:colOff>
      <xdr:row>16</xdr:row>
      <xdr:rowOff>28575</xdr:rowOff>
    </xdr:to>
    <xdr:graphicFrame macro="">
      <xdr:nvGraphicFramePr>
        <xdr:cNvPr id="1677723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16</xdr:row>
      <xdr:rowOff>161925</xdr:rowOff>
    </xdr:from>
    <xdr:to>
      <xdr:col>16</xdr:col>
      <xdr:colOff>590550</xdr:colOff>
      <xdr:row>31</xdr:row>
      <xdr:rowOff>161925</xdr:rowOff>
    </xdr:to>
    <xdr:graphicFrame macro="">
      <xdr:nvGraphicFramePr>
        <xdr:cNvPr id="1677724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32</xdr:row>
      <xdr:rowOff>142875</xdr:rowOff>
    </xdr:from>
    <xdr:to>
      <xdr:col>7</xdr:col>
      <xdr:colOff>390525</xdr:colOff>
      <xdr:row>47</xdr:row>
      <xdr:rowOff>142875</xdr:rowOff>
    </xdr:to>
    <xdr:graphicFrame macro="">
      <xdr:nvGraphicFramePr>
        <xdr:cNvPr id="227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35</xdr:row>
      <xdr:rowOff>161925</xdr:rowOff>
    </xdr:from>
    <xdr:to>
      <xdr:col>8</xdr:col>
      <xdr:colOff>609600</xdr:colOff>
      <xdr:row>50</xdr:row>
      <xdr:rowOff>161925</xdr:rowOff>
    </xdr:to>
    <xdr:graphicFrame macro="">
      <xdr:nvGraphicFramePr>
        <xdr:cNvPr id="5363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14</xdr:row>
      <xdr:rowOff>133350</xdr:rowOff>
    </xdr:from>
    <xdr:to>
      <xdr:col>11</xdr:col>
      <xdr:colOff>457200</xdr:colOff>
      <xdr:row>29</xdr:row>
      <xdr:rowOff>123825</xdr:rowOff>
    </xdr:to>
    <xdr:graphicFrame macro="">
      <xdr:nvGraphicFramePr>
        <xdr:cNvPr id="1446583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14</xdr:row>
      <xdr:rowOff>161925</xdr:rowOff>
    </xdr:from>
    <xdr:to>
      <xdr:col>19</xdr:col>
      <xdr:colOff>285750</xdr:colOff>
      <xdr:row>29</xdr:row>
      <xdr:rowOff>161925</xdr:rowOff>
    </xdr:to>
    <xdr:graphicFrame macro="">
      <xdr:nvGraphicFramePr>
        <xdr:cNvPr id="1446584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</xdr:colOff>
      <xdr:row>16</xdr:row>
      <xdr:rowOff>76200</xdr:rowOff>
    </xdr:from>
    <xdr:to>
      <xdr:col>27</xdr:col>
      <xdr:colOff>295275</xdr:colOff>
      <xdr:row>31</xdr:row>
      <xdr:rowOff>66675</xdr:rowOff>
    </xdr:to>
    <xdr:graphicFrame macro="">
      <xdr:nvGraphicFramePr>
        <xdr:cNvPr id="1446585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4.xml"/><Relationship Id="rId5" Type="http://schemas.openxmlformats.org/officeDocument/2006/relationships/oleObject" Target="../embeddings/oleObject5.bin"/><Relationship Id="rId4" Type="http://schemas.openxmlformats.org/officeDocument/2006/relationships/oleObject" Target="../embeddings/oleObject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7" Type="http://schemas.openxmlformats.org/officeDocument/2006/relationships/oleObject" Target="../embeddings/oleObject11.bin"/><Relationship Id="rId2" Type="http://schemas.openxmlformats.org/officeDocument/2006/relationships/oleObject" Target="../embeddings/oleObject6.bin"/><Relationship Id="rId1" Type="http://schemas.openxmlformats.org/officeDocument/2006/relationships/vmlDrawing" Target="../drawings/vmlDrawing6.vml"/><Relationship Id="rId6" Type="http://schemas.openxmlformats.org/officeDocument/2006/relationships/oleObject" Target="../embeddings/oleObject10.bin"/><Relationship Id="rId5" Type="http://schemas.openxmlformats.org/officeDocument/2006/relationships/oleObject" Target="../embeddings/oleObject9.bin"/><Relationship Id="rId4" Type="http://schemas.openxmlformats.org/officeDocument/2006/relationships/oleObject" Target="../embeddings/oleObject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hyperlink" Target="http://wenku.baidu.com/view/75a1357e168884868762d6ba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oleObject" Target="../embeddings/oleObject12.bin"/><Relationship Id="rId1" Type="http://schemas.openxmlformats.org/officeDocument/2006/relationships/vmlDrawing" Target="../drawings/vmlDrawing10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oleObject" Target="../embeddings/oleObject13.bin"/><Relationship Id="rId1" Type="http://schemas.openxmlformats.org/officeDocument/2006/relationships/vmlDrawing" Target="../drawings/vmlDrawing11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2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27"/>
  <sheetViews>
    <sheetView workbookViewId="0">
      <selection activeCell="B26" sqref="B26"/>
    </sheetView>
  </sheetViews>
  <sheetFormatPr defaultRowHeight="13.5"/>
  <cols>
    <col min="1" max="1" width="10.5" bestFit="1" customWidth="1"/>
  </cols>
  <sheetData>
    <row r="3" spans="1:10">
      <c r="A3" s="491" t="s">
        <v>366</v>
      </c>
      <c r="B3" s="492"/>
      <c r="C3" s="492"/>
      <c r="D3" s="492"/>
      <c r="E3" s="492" t="s">
        <v>631</v>
      </c>
      <c r="F3" s="492" t="s">
        <v>632</v>
      </c>
      <c r="G3" s="492" t="s">
        <v>633</v>
      </c>
      <c r="H3" s="492"/>
      <c r="I3" s="492"/>
      <c r="J3" s="492"/>
    </row>
    <row r="4" spans="1:10">
      <c r="A4" s="493">
        <v>41153</v>
      </c>
      <c r="B4" s="492"/>
      <c r="C4" s="492"/>
      <c r="D4" s="492"/>
      <c r="E4" s="492"/>
      <c r="F4" s="492"/>
      <c r="G4" s="492"/>
      <c r="H4" s="492"/>
      <c r="I4" s="492"/>
      <c r="J4" s="492"/>
    </row>
    <row r="5" spans="1:10">
      <c r="A5" s="492" t="s">
        <v>634</v>
      </c>
      <c r="B5" s="492" t="s">
        <v>635</v>
      </c>
      <c r="C5" s="492" t="s">
        <v>636</v>
      </c>
      <c r="D5" s="492"/>
      <c r="E5" s="492"/>
      <c r="F5" s="492" t="s">
        <v>637</v>
      </c>
      <c r="G5" s="492" t="s">
        <v>638</v>
      </c>
      <c r="H5" s="492"/>
      <c r="I5" s="492"/>
      <c r="J5" s="492"/>
    </row>
    <row r="6" spans="1:10">
      <c r="A6" s="491" t="s">
        <v>367</v>
      </c>
      <c r="B6" s="492"/>
      <c r="C6" s="492"/>
      <c r="D6" s="492"/>
      <c r="E6" s="492"/>
      <c r="F6" s="492"/>
      <c r="G6" s="492"/>
      <c r="H6" s="492"/>
      <c r="I6" s="492"/>
      <c r="J6" s="492"/>
    </row>
    <row r="7" spans="1:10">
      <c r="A7" s="490"/>
      <c r="B7" s="490"/>
      <c r="C7" s="490"/>
      <c r="D7" s="490"/>
      <c r="E7" s="490"/>
      <c r="F7" s="490"/>
      <c r="G7" s="490"/>
      <c r="H7" s="490"/>
      <c r="I7" s="490"/>
      <c r="J7" s="490"/>
    </row>
    <row r="8" spans="1:10">
      <c r="A8" s="29" t="s">
        <v>405</v>
      </c>
      <c r="B8" s="29"/>
      <c r="C8" s="29" t="s">
        <v>406</v>
      </c>
      <c r="D8" s="154"/>
      <c r="E8" s="154"/>
      <c r="F8" s="154"/>
      <c r="G8" s="154"/>
      <c r="H8" s="154"/>
      <c r="I8" s="154"/>
      <c r="J8" s="154"/>
    </row>
    <row r="9" spans="1:10">
      <c r="A9" s="154" t="s">
        <v>639</v>
      </c>
      <c r="B9" s="154"/>
      <c r="C9" s="154" t="s">
        <v>640</v>
      </c>
      <c r="D9" s="154"/>
      <c r="E9" s="154"/>
      <c r="F9" s="154"/>
      <c r="G9" s="154"/>
      <c r="H9" s="154"/>
      <c r="I9" s="154"/>
      <c r="J9" s="154"/>
    </row>
    <row r="10" spans="1:10">
      <c r="A10" s="718" t="s">
        <v>1086</v>
      </c>
      <c r="B10" s="154"/>
      <c r="C10" s="154" t="s">
        <v>662</v>
      </c>
      <c r="D10" s="154"/>
      <c r="E10" s="154"/>
      <c r="F10" s="154"/>
      <c r="G10" s="154"/>
      <c r="H10" s="154"/>
      <c r="I10" s="154"/>
      <c r="J10" s="154"/>
    </row>
    <row r="11" spans="1:10">
      <c r="A11" t="s">
        <v>1087</v>
      </c>
      <c r="B11" s="154"/>
      <c r="C11" s="718" t="s">
        <v>1088</v>
      </c>
      <c r="D11" s="154"/>
      <c r="E11" s="154"/>
      <c r="F11" s="154"/>
      <c r="G11" s="154"/>
      <c r="H11" s="154"/>
      <c r="I11" s="154"/>
      <c r="J11" s="154"/>
    </row>
    <row r="12" spans="1:10">
      <c r="A12" s="453" t="s">
        <v>626</v>
      </c>
      <c r="B12" s="154"/>
      <c r="C12" s="453" t="s">
        <v>512</v>
      </c>
      <c r="D12" s="154"/>
      <c r="E12" s="154"/>
      <c r="F12" s="154"/>
      <c r="G12" s="154"/>
      <c r="H12" s="154"/>
      <c r="I12" s="154"/>
      <c r="J12" s="154"/>
    </row>
    <row r="13" spans="1:10">
      <c r="A13" s="718" t="s">
        <v>1089</v>
      </c>
      <c r="B13" s="154"/>
      <c r="C13" s="718" t="s">
        <v>1090</v>
      </c>
      <c r="D13" s="154"/>
      <c r="E13" s="154"/>
      <c r="F13" s="154"/>
      <c r="G13" s="154"/>
      <c r="H13" s="154"/>
      <c r="I13" s="154"/>
      <c r="J13" s="154"/>
    </row>
    <row r="14" spans="1:10">
      <c r="A14" s="718" t="s">
        <v>1091</v>
      </c>
      <c r="B14" s="154"/>
      <c r="C14" s="718" t="s">
        <v>1092</v>
      </c>
      <c r="D14" s="154"/>
      <c r="E14" s="154"/>
      <c r="F14" s="154"/>
      <c r="G14" s="154"/>
      <c r="H14" s="154"/>
      <c r="I14" s="154"/>
      <c r="J14" s="154"/>
    </row>
    <row r="15" spans="1:10">
      <c r="A15" s="453" t="s">
        <v>687</v>
      </c>
      <c r="B15" s="154"/>
      <c r="C15" s="453" t="s">
        <v>687</v>
      </c>
      <c r="D15" s="154"/>
      <c r="E15" s="154"/>
      <c r="F15" s="154"/>
      <c r="G15" s="154"/>
      <c r="H15" s="154"/>
      <c r="I15" s="154"/>
      <c r="J15" s="154"/>
    </row>
    <row r="16" spans="1:10">
      <c r="A16" s="154" t="s">
        <v>426</v>
      </c>
      <c r="B16" s="154"/>
      <c r="C16" s="453" t="s">
        <v>427</v>
      </c>
      <c r="D16" s="154"/>
      <c r="E16" s="154"/>
      <c r="F16" s="154"/>
      <c r="G16" s="154"/>
      <c r="H16" s="154"/>
      <c r="I16" s="154"/>
      <c r="J16" s="154"/>
    </row>
    <row r="17" spans="1:10">
      <c r="A17" s="453" t="s">
        <v>429</v>
      </c>
      <c r="B17" s="154"/>
      <c r="C17" s="453" t="s">
        <v>428</v>
      </c>
      <c r="D17" s="154"/>
      <c r="E17" s="154"/>
      <c r="F17" s="154"/>
      <c r="G17" s="154"/>
      <c r="H17" s="154"/>
      <c r="I17" s="154"/>
      <c r="J17" s="154"/>
    </row>
    <row r="18" spans="1:10">
      <c r="A18" s="453" t="s">
        <v>627</v>
      </c>
      <c r="B18" s="154"/>
      <c r="C18" s="453" t="s">
        <v>628</v>
      </c>
      <c r="D18" s="154"/>
      <c r="E18" s="154"/>
      <c r="F18" s="154"/>
      <c r="G18" s="154"/>
      <c r="H18" s="154"/>
      <c r="I18" s="154"/>
      <c r="J18" s="154"/>
    </row>
    <row r="19" spans="1:10">
      <c r="A19" s="453" t="s">
        <v>629</v>
      </c>
      <c r="B19" s="154"/>
      <c r="C19" s="453" t="s">
        <v>630</v>
      </c>
      <c r="D19" s="154"/>
      <c r="E19" s="154"/>
      <c r="F19" s="154"/>
      <c r="G19" s="154"/>
      <c r="H19" s="154"/>
      <c r="I19" s="154"/>
      <c r="J19" s="154"/>
    </row>
    <row r="20" spans="1:10">
      <c r="A20" s="453" t="s">
        <v>404</v>
      </c>
      <c r="B20" s="154"/>
      <c r="C20" s="495" t="s">
        <v>408</v>
      </c>
      <c r="D20" s="154"/>
      <c r="E20" s="154"/>
      <c r="F20" s="154"/>
      <c r="G20" s="154"/>
      <c r="H20" s="154"/>
      <c r="I20" s="154"/>
      <c r="J20" s="154"/>
    </row>
    <row r="21" spans="1:10">
      <c r="A21" s="154" t="s">
        <v>409</v>
      </c>
      <c r="B21" s="154"/>
      <c r="C21" s="495" t="s">
        <v>407</v>
      </c>
      <c r="D21" s="154"/>
      <c r="E21" s="154"/>
      <c r="F21" s="154"/>
      <c r="G21" s="154"/>
      <c r="H21" s="154"/>
      <c r="I21" s="154"/>
      <c r="J21" s="154"/>
    </row>
    <row r="22" spans="1:10">
      <c r="A22" s="453" t="s">
        <v>424</v>
      </c>
      <c r="B22" s="154"/>
      <c r="C22" s="495" t="s">
        <v>425</v>
      </c>
      <c r="D22" s="154"/>
      <c r="E22" s="154"/>
      <c r="F22" s="154"/>
      <c r="G22" s="154"/>
      <c r="H22" s="154"/>
      <c r="I22" s="154"/>
      <c r="J22" s="154"/>
    </row>
    <row r="24" spans="1:10">
      <c r="A24" s="358"/>
      <c r="C24" s="358"/>
    </row>
    <row r="25" spans="1:10">
      <c r="A25" s="358"/>
      <c r="C25" s="358"/>
    </row>
    <row r="26" spans="1:10">
      <c r="C26" s="358"/>
    </row>
    <row r="27" spans="1:10">
      <c r="A27" s="358"/>
      <c r="C27" s="358"/>
    </row>
  </sheetData>
  <phoneticPr fontId="3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46"/>
  <sheetViews>
    <sheetView workbookViewId="0">
      <pane xSplit="1" topLeftCell="B1" activePane="topRight" state="frozen"/>
      <selection activeCell="C4" sqref="C4"/>
      <selection pane="topRight" activeCell="F33" sqref="F33:G33"/>
    </sheetView>
  </sheetViews>
  <sheetFormatPr defaultRowHeight="13.5"/>
  <cols>
    <col min="1" max="1" width="18.5" customWidth="1"/>
    <col min="4" max="4" width="27.375" customWidth="1"/>
    <col min="5" max="5" width="12.5" bestFit="1" customWidth="1"/>
    <col min="6" max="7" width="15.25" bestFit="1" customWidth="1"/>
    <col min="8" max="8" width="12.5" bestFit="1" customWidth="1"/>
    <col min="9" max="9" width="13.875" bestFit="1" customWidth="1"/>
    <col min="11" max="11" width="10.5" bestFit="1" customWidth="1"/>
    <col min="16" max="16" width="9.5" bestFit="1" customWidth="1"/>
    <col min="20" max="20" width="9.5" bestFit="1" customWidth="1"/>
  </cols>
  <sheetData>
    <row r="1" spans="1:18" ht="14.25" thickBot="1">
      <c r="A1" s="7" t="s">
        <v>12</v>
      </c>
      <c r="B1" s="7" t="s">
        <v>13</v>
      </c>
      <c r="C1" s="7" t="s">
        <v>14</v>
      </c>
      <c r="D1" s="8" t="s">
        <v>15</v>
      </c>
    </row>
    <row r="3" spans="1:18">
      <c r="A3" s="724" t="s">
        <v>179</v>
      </c>
      <c r="B3" s="9"/>
      <c r="C3" s="34"/>
      <c r="D3" s="34"/>
    </row>
    <row r="4" spans="1:18">
      <c r="A4" s="724"/>
      <c r="B4" s="9" t="s">
        <v>93</v>
      </c>
      <c r="C4" s="34">
        <v>33</v>
      </c>
      <c r="D4" s="443">
        <v>43</v>
      </c>
    </row>
    <row r="5" spans="1:18">
      <c r="A5" s="9"/>
      <c r="B5" s="9"/>
      <c r="C5" s="9"/>
      <c r="D5" s="9"/>
      <c r="E5" t="s">
        <v>46</v>
      </c>
      <c r="J5" t="s">
        <v>48</v>
      </c>
      <c r="M5" t="s">
        <v>50</v>
      </c>
      <c r="N5" t="s">
        <v>50</v>
      </c>
      <c r="O5" t="s">
        <v>52</v>
      </c>
    </row>
    <row r="6" spans="1:18" ht="14.25" thickBot="1">
      <c r="A6" s="10"/>
      <c r="B6" s="10"/>
      <c r="C6" s="10"/>
      <c r="D6" s="10"/>
      <c r="E6" t="s">
        <v>26</v>
      </c>
      <c r="F6" t="s">
        <v>30</v>
      </c>
      <c r="G6" t="s">
        <v>31</v>
      </c>
      <c r="H6" t="s">
        <v>32</v>
      </c>
      <c r="I6" t="s">
        <v>28</v>
      </c>
      <c r="J6" t="s">
        <v>61</v>
      </c>
      <c r="K6" t="s">
        <v>34</v>
      </c>
      <c r="L6" t="s">
        <v>36</v>
      </c>
      <c r="M6" t="s">
        <v>39</v>
      </c>
      <c r="N6" t="s">
        <v>43</v>
      </c>
      <c r="O6" t="s">
        <v>45</v>
      </c>
      <c r="P6" t="s">
        <v>54</v>
      </c>
      <c r="R6" t="s">
        <v>432</v>
      </c>
    </row>
    <row r="8" spans="1:18">
      <c r="A8" s="138" t="s">
        <v>335</v>
      </c>
      <c r="B8" t="s">
        <v>24</v>
      </c>
      <c r="C8" t="s">
        <v>86</v>
      </c>
      <c r="D8" s="20">
        <f>1000*100/C4</f>
        <v>3030.3030303030305</v>
      </c>
      <c r="E8" s="20">
        <f>D8</f>
        <v>3030.3030303030305</v>
      </c>
      <c r="F8" s="20">
        <f>D14</f>
        <v>1.98</v>
      </c>
      <c r="G8" s="20">
        <f>D15</f>
        <v>0.03</v>
      </c>
      <c r="H8" s="20">
        <f>D16</f>
        <v>5.95</v>
      </c>
      <c r="I8" s="20">
        <f>D9+D17</f>
        <v>0.96</v>
      </c>
      <c r="J8">
        <f>(E8*'LC factor'!G15+F8*'LC factor'!I15+G8*'LC factor'!J15+H8*'LC factor'!K15+I8*'LC factor'!L15)/1000</f>
        <v>3.2530856550595448</v>
      </c>
      <c r="K8">
        <f>(E8*'LC factor'!G16+F8*'LC factor'!I16+G8*'LC factor'!J16+H8*'LC factor'!K16+I8*'LC factor'!L16)/1000</f>
        <v>8.813136023219606E-3</v>
      </c>
      <c r="L8">
        <f>(E8*'LC factor'!G17+F8*'LC factor'!I17+G8*'LC factor'!J17+H8*'LC factor'!K17+I8*'LC factor'!L17)/1000</f>
        <v>5.3929323444262219E-2</v>
      </c>
      <c r="M8">
        <f>(E8*'LC factor'!G18+F7*'LC factor'!I18+G8*'LC factor'!J18+H8*'LC factor'!K18+I8*'LC factor'!L18)/1000</f>
        <v>269.81378720855014</v>
      </c>
      <c r="N8">
        <f>(E8*'LC factor'!G19+F8*'LC factor'!I19+G8*'LC factor'!J19+H8*'LC factor'!K19+I8*'LC factor'!L19)/1000</f>
        <v>1.3255338502481158</v>
      </c>
      <c r="O8">
        <f>(E8*'LC factor'!G20+F8*'LC factor'!I31+G8*'LC factor'!J20+H8*'LC factor'!K20+I8*'LC factor'!L20)/1000</f>
        <v>4.1944838540460003E-3</v>
      </c>
      <c r="P8">
        <f>M8+N8*25+O8*0.298</f>
        <v>302.95338342094158</v>
      </c>
      <c r="Q8">
        <f>J8+K8+L8</f>
        <v>3.3158281145270267</v>
      </c>
      <c r="R8">
        <f>1/(J8+K8+L8)*100</f>
        <v>30.158378705424578</v>
      </c>
    </row>
    <row r="9" spans="1:18">
      <c r="C9" t="s">
        <v>27</v>
      </c>
      <c r="D9" s="25">
        <f>M16</f>
        <v>0</v>
      </c>
      <c r="L9" t="s">
        <v>69</v>
      </c>
      <c r="M9">
        <v>-74</v>
      </c>
      <c r="N9" t="s">
        <v>50</v>
      </c>
    </row>
    <row r="10" spans="1:18">
      <c r="D10" s="25"/>
    </row>
    <row r="11" spans="1:18">
      <c r="D11" s="25"/>
    </row>
    <row r="12" spans="1:18">
      <c r="D12" s="25"/>
    </row>
    <row r="13" spans="1:18">
      <c r="D13" s="25"/>
    </row>
    <row r="14" spans="1:18">
      <c r="B14" t="s">
        <v>29</v>
      </c>
      <c r="C14" t="s">
        <v>5</v>
      </c>
      <c r="D14">
        <f>'T&amp;D'!C5</f>
        <v>1.98</v>
      </c>
      <c r="H14">
        <f>J8+K8+L8</f>
        <v>3.3158281145270267</v>
      </c>
      <c r="L14" t="s">
        <v>70</v>
      </c>
      <c r="M14">
        <f>D8*('LC factor'!L7-'LC factor'!E7)/1000+M9</f>
        <v>173.4</v>
      </c>
      <c r="N14" t="s">
        <v>50</v>
      </c>
    </row>
    <row r="15" spans="1:18">
      <c r="C15" t="s">
        <v>6</v>
      </c>
      <c r="D15">
        <f>'T&amp;D'!C6</f>
        <v>0.03</v>
      </c>
      <c r="H15" s="23">
        <f>1/H14</f>
        <v>0.30158378705424577</v>
      </c>
      <c r="L15" t="s">
        <v>71</v>
      </c>
      <c r="M15" s="27">
        <f>M14*0.9</f>
        <v>156.06</v>
      </c>
      <c r="N15" t="s">
        <v>50</v>
      </c>
    </row>
    <row r="16" spans="1:18">
      <c r="C16" t="s">
        <v>7</v>
      </c>
      <c r="D16">
        <f>'T&amp;D'!C7</f>
        <v>5.95</v>
      </c>
      <c r="L16" t="s">
        <v>72</v>
      </c>
      <c r="M16" s="26">
        <f>0</f>
        <v>0</v>
      </c>
      <c r="N16" t="s">
        <v>73</v>
      </c>
    </row>
    <row r="17" spans="1:18">
      <c r="C17" t="s">
        <v>8</v>
      </c>
      <c r="D17">
        <f>'T&amp;D'!C8</f>
        <v>0.96</v>
      </c>
    </row>
    <row r="18" spans="1:18">
      <c r="A18" s="439" t="s">
        <v>336</v>
      </c>
      <c r="B18" s="440" t="s">
        <v>24</v>
      </c>
      <c r="C18" s="439" t="s">
        <v>86</v>
      </c>
      <c r="D18" s="441">
        <f>1000*100/D4</f>
        <v>2325.5813953488373</v>
      </c>
      <c r="E18" s="20">
        <f>D18</f>
        <v>2325.5813953488373</v>
      </c>
      <c r="F18" s="20">
        <f>D20</f>
        <v>1.98</v>
      </c>
      <c r="G18" s="20">
        <f>D21</f>
        <v>0.03</v>
      </c>
      <c r="H18" s="20">
        <f>D22</f>
        <v>5.95</v>
      </c>
      <c r="I18" s="20">
        <f>D19+D23</f>
        <v>42.37478409736309</v>
      </c>
      <c r="J18">
        <f>(E18*'LC factor'!G15+F18*'LC factor'!I15+G18*'LC factor'!J15+H18*'LC factor'!K15+I18*'LC factor'!L15)/1000</f>
        <v>2.5969033702392039</v>
      </c>
      <c r="K18">
        <f>(E18*'LC factor'!G16+F18*'LC factor'!I16+G18*'LC factor'!J16+H18*'LC factor'!K16+I18*'LC factor'!L16)/1000</f>
        <v>1.4642268891659782E-2</v>
      </c>
      <c r="L18">
        <f>(E18*'LC factor'!G17+F18*'LC factor'!I17+G18*'LC factor'!J17+H18*'LC factor'!K17+I18*'LC factor'!L17)/1000</f>
        <v>4.6353909545323348E-2</v>
      </c>
      <c r="M18">
        <f>(E18*'LC factor'!G18+F18*'LC factor'!I18+G18*'LC factor'!J18+H18*'LC factor'!K18+I18*'LC factor'!L18)/1000</f>
        <v>216.20977296157361</v>
      </c>
      <c r="N18">
        <f>(E18*'LC factor'!G19+F18*'LC factor'!I19+G18*'LC factor'!J19+H18*'LC factor'!K19+I18*'LC factor'!L19)/1000</f>
        <v>1.0587527874104825</v>
      </c>
      <c r="O18">
        <f>(E18*'LC factor'!G20+CtL!F18*'LC factor'!I20+CtL!G18*'LC factor'!J20+CtL!H18*'LC factor'!K20+CtL!I18*'LC factor'!L20)/1000</f>
        <v>3.2765638467340662E-3</v>
      </c>
      <c r="P18">
        <f>M18+N18*25+O18*0.298</f>
        <v>242.67956906286202</v>
      </c>
      <c r="Q18">
        <f>J18+K18+L18</f>
        <v>2.6578995486761872</v>
      </c>
      <c r="R18">
        <f>1/(J18+K18+L18)*100</f>
        <v>37.623694262564115</v>
      </c>
    </row>
    <row r="19" spans="1:18">
      <c r="A19" s="440"/>
      <c r="B19" s="440"/>
      <c r="C19" s="440" t="s">
        <v>27</v>
      </c>
      <c r="D19" s="442">
        <f>M22</f>
        <v>41.414784097363089</v>
      </c>
      <c r="L19" t="s">
        <v>69</v>
      </c>
      <c r="M19">
        <v>-74.3</v>
      </c>
      <c r="N19" t="s">
        <v>50</v>
      </c>
      <c r="Q19" t="s">
        <v>68</v>
      </c>
    </row>
    <row r="20" spans="1:18">
      <c r="A20" s="440"/>
      <c r="B20" s="440" t="s">
        <v>29</v>
      </c>
      <c r="C20" s="440" t="s">
        <v>5</v>
      </c>
      <c r="D20" s="441">
        <f>D14</f>
        <v>1.98</v>
      </c>
      <c r="L20" t="s">
        <v>70</v>
      </c>
      <c r="M20">
        <f>CtL!M20</f>
        <v>91.302434077079127</v>
      </c>
      <c r="N20" t="s">
        <v>50</v>
      </c>
    </row>
    <row r="21" spans="1:18">
      <c r="A21" s="440"/>
      <c r="B21" s="440"/>
      <c r="C21" s="440" t="s">
        <v>6</v>
      </c>
      <c r="D21" s="441">
        <f>D15</f>
        <v>0.03</v>
      </c>
      <c r="L21" t="s">
        <v>71</v>
      </c>
      <c r="M21" s="27">
        <f>M20*0.9</f>
        <v>82.172190669371219</v>
      </c>
      <c r="N21" t="s">
        <v>50</v>
      </c>
    </row>
    <row r="22" spans="1:18">
      <c r="A22" s="440"/>
      <c r="B22" s="440"/>
      <c r="C22" s="440" t="s">
        <v>7</v>
      </c>
      <c r="D22" s="441">
        <f>D16</f>
        <v>5.95</v>
      </c>
      <c r="G22" s="535" t="s">
        <v>1014</v>
      </c>
      <c r="L22" t="s">
        <v>72</v>
      </c>
      <c r="M22" s="26">
        <f>M21*140*0.001*3.6</f>
        <v>41.414784097363089</v>
      </c>
      <c r="N22" t="s">
        <v>73</v>
      </c>
    </row>
    <row r="23" spans="1:18" ht="14.25" thickBot="1">
      <c r="A23" s="440"/>
      <c r="B23" s="440"/>
      <c r="C23" s="440" t="s">
        <v>8</v>
      </c>
      <c r="D23" s="441">
        <f>D17</f>
        <v>0.96</v>
      </c>
      <c r="F23" s="107"/>
      <c r="G23" s="339" t="s">
        <v>420</v>
      </c>
      <c r="H23" s="108"/>
      <c r="I23" s="108"/>
      <c r="J23" s="683" t="s">
        <v>60</v>
      </c>
      <c r="K23" s="683" t="s">
        <v>33</v>
      </c>
      <c r="L23" s="684" t="s">
        <v>35</v>
      </c>
      <c r="M23" s="685" t="s">
        <v>38</v>
      </c>
      <c r="N23" s="686" t="s">
        <v>42</v>
      </c>
      <c r="O23" s="684" t="s">
        <v>44</v>
      </c>
      <c r="P23" s="685" t="s">
        <v>53</v>
      </c>
      <c r="Q23" s="687" t="s">
        <v>421</v>
      </c>
    </row>
    <row r="24" spans="1:18">
      <c r="F24" s="688" t="s">
        <v>422</v>
      </c>
      <c r="G24" s="77">
        <f>M15</f>
        <v>156.06</v>
      </c>
      <c r="H24" s="35"/>
      <c r="I24" s="35"/>
      <c r="J24" s="77">
        <f>G24/1000000*'CO2 t&amp;s'!C6</f>
        <v>9.9087399607030498E-3</v>
      </c>
      <c r="K24" s="77">
        <f>G24/1000000*'CO2 t&amp;s'!C7</f>
        <v>7.7044170432825714E-4</v>
      </c>
      <c r="L24" s="77">
        <f>G24/1000000*'CO2 t&amp;s'!C8</f>
        <v>2.8011737918856464E-4</v>
      </c>
      <c r="M24" s="77">
        <f>G24/1000000*'CO2 t&amp;s'!C9</f>
        <v>0.87343893329988798</v>
      </c>
      <c r="N24" s="77">
        <f>G24/1000000*'CO2 t&amp;s'!C10</f>
        <v>4.0931472538488257E-3</v>
      </c>
      <c r="O24" s="77">
        <f>G24/1000000*'CO2 t&amp;s'!C11</f>
        <v>1.3751294383755983E-5</v>
      </c>
      <c r="P24" s="35">
        <f>M24+N24*25+O24*0.298</f>
        <v>0.97577171253183492</v>
      </c>
      <c r="Q24" s="689">
        <f>J24+K24+L24</f>
        <v>1.0959299044219871E-2</v>
      </c>
    </row>
    <row r="25" spans="1:18">
      <c r="F25" s="688" t="s">
        <v>423</v>
      </c>
      <c r="G25" s="77">
        <f>M21</f>
        <v>82.172190669371219</v>
      </c>
      <c r="H25" s="35"/>
      <c r="I25" s="35"/>
      <c r="J25" s="77">
        <f>G25/1000000*'CO2 t&amp;s'!C6</f>
        <v>5.2173706865571504E-3</v>
      </c>
      <c r="K25" s="77">
        <f>G25/1000000*'CO2 t&amp;s'!C7</f>
        <v>4.0567014371201382E-4</v>
      </c>
      <c r="L25" s="77">
        <f>G25/1000000*'CO2 t&amp;s'!C8</f>
        <v>1.4749364790777453E-4</v>
      </c>
      <c r="M25" s="77">
        <f>G25/1000000*'CO2 t&amp;s'!C9</f>
        <v>0.45990254110707807</v>
      </c>
      <c r="N25" s="77">
        <f>G25/1000000*'CO2 t&amp;s'!C10</f>
        <v>2.1552151517434254E-3</v>
      </c>
      <c r="O25" s="77">
        <f>G25/1000000*'CO2 t&amp;s'!C11</f>
        <v>7.2406381138834438E-6</v>
      </c>
      <c r="P25" s="35">
        <f>M25+N25*25+O25*0.298</f>
        <v>0.51378507761082171</v>
      </c>
      <c r="Q25" s="689">
        <f>J25+K25+L25</f>
        <v>5.7705344781769389E-3</v>
      </c>
    </row>
    <row r="26" spans="1:18">
      <c r="F26" s="93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84"/>
    </row>
    <row r="27" spans="1:18">
      <c r="F27" s="93" t="str">
        <f>F24</f>
        <v>CTL+CCS</v>
      </c>
      <c r="G27" s="35"/>
      <c r="H27" s="35"/>
      <c r="I27" s="35"/>
      <c r="J27" s="77">
        <f t="shared" ref="J27:O27" si="0">J8+J24</f>
        <v>3.262994395020248</v>
      </c>
      <c r="K27" s="77">
        <f t="shared" si="0"/>
        <v>9.5835777275478633E-3</v>
      </c>
      <c r="L27" s="77">
        <f t="shared" si="0"/>
        <v>5.4209440823450784E-2</v>
      </c>
      <c r="M27" s="77">
        <f t="shared" si="0"/>
        <v>270.68722614185003</v>
      </c>
      <c r="N27" s="77">
        <f t="shared" si="0"/>
        <v>1.3296269975019646</v>
      </c>
      <c r="O27" s="77">
        <f t="shared" si="0"/>
        <v>4.2082351484297566E-3</v>
      </c>
      <c r="P27" s="77">
        <f>P8+P24-M15</f>
        <v>147.86915513347338</v>
      </c>
      <c r="Q27" s="689">
        <f>Q8+Q24</f>
        <v>3.3267874135712465</v>
      </c>
    </row>
    <row r="28" spans="1:18">
      <c r="F28" s="93" t="str">
        <f>F25</f>
        <v>CTL(low)+CCS</v>
      </c>
      <c r="G28" s="35"/>
      <c r="H28" s="35"/>
      <c r="I28" s="35"/>
      <c r="J28" s="77">
        <f t="shared" ref="J28:O28" si="1">J18+J25</f>
        <v>2.602120740925761</v>
      </c>
      <c r="K28" s="77">
        <f t="shared" si="1"/>
        <v>1.5047939035371796E-2</v>
      </c>
      <c r="L28" s="77">
        <f t="shared" si="1"/>
        <v>4.6501403193231122E-2</v>
      </c>
      <c r="M28" s="77">
        <f t="shared" si="1"/>
        <v>216.66967550268069</v>
      </c>
      <c r="N28" s="77">
        <f t="shared" si="1"/>
        <v>1.0609080025622259</v>
      </c>
      <c r="O28" s="77">
        <f t="shared" si="1"/>
        <v>3.2838044848479495E-3</v>
      </c>
      <c r="P28" s="77">
        <f>P18+P25-M21</f>
        <v>161.02116347110163</v>
      </c>
      <c r="Q28" s="689">
        <f>J18+K18+L18+Q25</f>
        <v>2.663670083154364</v>
      </c>
    </row>
    <row r="29" spans="1:18">
      <c r="F29" s="101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473"/>
    </row>
    <row r="30" spans="1:18">
      <c r="P30" s="23">
        <f>P24/P27</f>
        <v>6.5988861006953019E-3</v>
      </c>
      <c r="Q30" s="23">
        <f>Q24/Q27</f>
        <v>3.2942588995956493E-3</v>
      </c>
    </row>
    <row r="31" spans="1:18">
      <c r="D31" t="str">
        <f>Coal!F2</f>
        <v>原煤开采处理</v>
      </c>
      <c r="E31" t="str">
        <f>Coal!G2</f>
        <v>煤炭运输</v>
      </c>
      <c r="F31" s="405" t="s">
        <v>595</v>
      </c>
      <c r="G31" s="405" t="s">
        <v>596</v>
      </c>
      <c r="H31" s="405" t="s">
        <v>597</v>
      </c>
      <c r="I31" t="str">
        <f>CtL!H27</f>
        <v>CTL燃烧</v>
      </c>
      <c r="J31" s="460" t="s">
        <v>615</v>
      </c>
      <c r="P31" s="23">
        <f>P25/P28</f>
        <v>3.1907922321218998E-3</v>
      </c>
      <c r="Q31" s="23">
        <f>Q25/Q28</f>
        <v>2.1663848367224864E-3</v>
      </c>
    </row>
    <row r="32" spans="1:18">
      <c r="D32" s="444">
        <f>Coal!F13*'CtL(CCS)'!$D$18/1000</f>
        <v>38.504884231138753</v>
      </c>
      <c r="E32" s="444">
        <f>Coal!G13*'CtL(CCS)'!$D$18/1000</f>
        <v>2.5948662627654357</v>
      </c>
      <c r="F32" s="444">
        <f>Coal!H13*'CtL(CCS)'!$D$18/1000+M19</f>
        <v>115.62394883720931</v>
      </c>
      <c r="G32" s="444">
        <f>-M21</f>
        <v>-82.172190669371219</v>
      </c>
      <c r="H32" s="444">
        <f>CtL!G28</f>
        <v>0.95858663514955988</v>
      </c>
      <c r="I32" s="444">
        <f>CtL!H28</f>
        <v>74.3</v>
      </c>
      <c r="J32" s="444">
        <f>SUM(D32:I32)</f>
        <v>149.81009529689183</v>
      </c>
    </row>
    <row r="33" spans="4:20">
      <c r="D33" s="459">
        <f>D32/J32</f>
        <v>0.25702462944723614</v>
      </c>
      <c r="E33" s="459">
        <f>E32/J32</f>
        <v>1.7321037394862883E-2</v>
      </c>
      <c r="F33" s="459">
        <f>F32/J32</f>
        <v>0.77180345295200015</v>
      </c>
      <c r="G33" s="459">
        <f>G32/J32</f>
        <v>-0.54850903409762453</v>
      </c>
      <c r="H33" s="459">
        <f>H32/J32</f>
        <v>6.3986784952632502E-3</v>
      </c>
      <c r="I33" s="459">
        <f>I32/J32</f>
        <v>0.49596123580826218</v>
      </c>
      <c r="K33">
        <f>J32/CtL!$I$28</f>
        <v>0.73994914757071262</v>
      </c>
    </row>
    <row r="34" spans="4:20">
      <c r="K34" s="459">
        <f>1-K33</f>
        <v>0.26005085242928738</v>
      </c>
    </row>
    <row r="37" spans="4:20">
      <c r="K37" s="107"/>
      <c r="L37" s="108"/>
      <c r="M37" s="108"/>
      <c r="N37" s="108" t="str">
        <f>D31</f>
        <v>原煤开采处理</v>
      </c>
      <c r="O37" s="108" t="str">
        <f t="shared" ref="O37:Q37" si="2">E31</f>
        <v>煤炭运输</v>
      </c>
      <c r="P37" s="108" t="str">
        <f t="shared" si="2"/>
        <v>CTL制备</v>
      </c>
      <c r="Q37" s="108" t="str">
        <f t="shared" si="2"/>
        <v>捕获</v>
      </c>
      <c r="R37" s="108" t="str">
        <f>H31</f>
        <v>CTL输配</v>
      </c>
      <c r="S37" s="108" t="str">
        <f>I31</f>
        <v>CTL燃烧</v>
      </c>
      <c r="T37" s="469" t="str">
        <f>J31</f>
        <v>合计</v>
      </c>
    </row>
    <row r="38" spans="4:20">
      <c r="K38" s="93" t="s">
        <v>1018</v>
      </c>
      <c r="L38" s="35" t="s">
        <v>1019</v>
      </c>
      <c r="M38" s="35" t="s">
        <v>4</v>
      </c>
      <c r="N38" s="35">
        <f>Coal!F5/$D$4*100</f>
        <v>0.1545380109766008</v>
      </c>
      <c r="O38" s="35">
        <f>Coal!G5/$D$4*100</f>
        <v>5.4065037982340787E-3</v>
      </c>
      <c r="P38" s="35">
        <f>Coal!H5/$D$4*100</f>
        <v>2.3255813953488373</v>
      </c>
      <c r="Q38" s="35">
        <v>0</v>
      </c>
      <c r="R38" s="35">
        <f>CtL!Q29</f>
        <v>2.7971572740058148E-3</v>
      </c>
      <c r="S38" s="35">
        <f>CtL!R29</f>
        <v>1</v>
      </c>
      <c r="T38" s="84">
        <f>SUM(N38:S38)</f>
        <v>3.4883230673976784</v>
      </c>
    </row>
    <row r="39" spans="4:20">
      <c r="K39" s="93" t="s">
        <v>1020</v>
      </c>
      <c r="L39" s="35" t="s">
        <v>1021</v>
      </c>
      <c r="M39" s="35" t="s">
        <v>4</v>
      </c>
      <c r="N39" s="35">
        <f>Coal!F6/$D$4*100</f>
        <v>4.595972235737671E-3</v>
      </c>
      <c r="O39" s="35">
        <f>Coal!G6/$D$4*100</f>
        <v>1.4706270157112589E-3</v>
      </c>
      <c r="P39" s="35">
        <f>Coal!H6/$D$4*100</f>
        <v>0</v>
      </c>
      <c r="Q39" s="35">
        <f>'Oil-based'!I15</f>
        <v>0</v>
      </c>
      <c r="R39" s="35">
        <f>CtL!Q30</f>
        <v>5.4501075267156848E-4</v>
      </c>
      <c r="S39" s="35">
        <f>CtL!R30</f>
        <v>0</v>
      </c>
      <c r="T39" s="84">
        <f t="shared" ref="T39:T41" si="3">SUM(N39:S39)</f>
        <v>6.6116100041204986E-3</v>
      </c>
    </row>
    <row r="40" spans="4:20">
      <c r="K40" s="93" t="s">
        <v>1022</v>
      </c>
      <c r="L40" s="35" t="s">
        <v>1023</v>
      </c>
      <c r="M40" s="35" t="s">
        <v>4</v>
      </c>
      <c r="N40" s="35">
        <f>Coal!F7/$D$4*100</f>
        <v>6.0342203345977912E-3</v>
      </c>
      <c r="O40" s="35">
        <f>Coal!G7/$D$4*100</f>
        <v>2.7613972778176156E-2</v>
      </c>
      <c r="P40" s="35">
        <f>Coal!H7/$D$4*100</f>
        <v>0</v>
      </c>
      <c r="Q40" s="35">
        <f>'Oil-based'!I16</f>
        <v>0</v>
      </c>
      <c r="R40" s="35">
        <f>CtL!Q31</f>
        <v>8.9344246406559066E-3</v>
      </c>
      <c r="S40" s="35">
        <f>CtL!R31</f>
        <v>0</v>
      </c>
      <c r="T40" s="84">
        <f t="shared" si="3"/>
        <v>4.2582617753429856E-2</v>
      </c>
    </row>
    <row r="41" spans="4:20">
      <c r="K41" s="93" t="s">
        <v>1024</v>
      </c>
      <c r="L41" s="35" t="s">
        <v>1025</v>
      </c>
      <c r="M41" s="35" t="s">
        <v>4</v>
      </c>
      <c r="N41" s="35">
        <f>N38+N39+N40</f>
        <v>0.16516820354693629</v>
      </c>
      <c r="O41" s="35">
        <f>O38+O39+O40</f>
        <v>3.4491103592121493E-2</v>
      </c>
      <c r="P41" s="35">
        <f>P38+P39+P40-1</f>
        <v>1.3255813953488373</v>
      </c>
      <c r="Q41" s="35">
        <f>Q38+Q39+Q40</f>
        <v>0</v>
      </c>
      <c r="R41" s="35">
        <f>R38+R39+R40</f>
        <v>1.227659266733329E-2</v>
      </c>
      <c r="S41" s="35">
        <f>S38+S39+S40</f>
        <v>1</v>
      </c>
      <c r="T41" s="84">
        <f t="shared" si="3"/>
        <v>2.5375172951552285</v>
      </c>
    </row>
    <row r="42" spans="4:20">
      <c r="K42" s="93"/>
      <c r="L42" s="35"/>
      <c r="M42" s="35"/>
      <c r="N42" s="35"/>
      <c r="O42" s="35"/>
      <c r="P42" s="35"/>
      <c r="Q42" s="35"/>
      <c r="R42" s="35"/>
      <c r="S42" s="35"/>
      <c r="T42" s="84"/>
    </row>
    <row r="43" spans="4:20">
      <c r="K43" s="93" t="s">
        <v>1026</v>
      </c>
      <c r="L43" s="35" t="s">
        <v>1027</v>
      </c>
      <c r="M43" s="35" t="s">
        <v>9</v>
      </c>
      <c r="N43" s="35">
        <f>Coal!F10/$D$4*100</f>
        <v>13.317323145937509</v>
      </c>
      <c r="O43" s="35">
        <f>Coal!G10/$D$4*100</f>
        <v>2.5243238189884099</v>
      </c>
      <c r="P43" s="35">
        <f>Coal!H10/$D$4*100-S43</f>
        <v>115.56511627906978</v>
      </c>
      <c r="Q43" s="380">
        <f>G32</f>
        <v>-82.172190669371219</v>
      </c>
      <c r="R43" s="35">
        <f>CtL!Q34</f>
        <v>0.92646801250540411</v>
      </c>
      <c r="S43" s="35">
        <f>CtL!R34</f>
        <v>74.3</v>
      </c>
      <c r="T43" s="84">
        <f>SUM(N43:S43)</f>
        <v>124.46104058712987</v>
      </c>
    </row>
    <row r="44" spans="4:20">
      <c r="K44" s="93" t="s">
        <v>1028</v>
      </c>
      <c r="L44" s="35" t="s">
        <v>1029</v>
      </c>
      <c r="M44" s="35" t="s">
        <v>9</v>
      </c>
      <c r="N44" s="35">
        <f>Coal!F11/$D$4*100</f>
        <v>1.0074990048776551</v>
      </c>
      <c r="O44" s="35">
        <f>Coal!G11/$D$4*100</f>
        <v>2.8148094840694388E-3</v>
      </c>
      <c r="P44" s="35">
        <f>Coal!H11/$D$4*100</f>
        <v>2.3255813953488376E-3</v>
      </c>
      <c r="Q44" s="35">
        <f>'Oil-based'!I20</f>
        <v>0</v>
      </c>
      <c r="R44" s="35">
        <f>CtL!Q35</f>
        <v>1.2840088857874684E-3</v>
      </c>
      <c r="S44" s="35">
        <f>CtL!R35</f>
        <v>0</v>
      </c>
      <c r="T44" s="84">
        <f t="shared" ref="T44:T45" si="4">SUM(N44:S44)</f>
        <v>1.0139234046428609</v>
      </c>
    </row>
    <row r="45" spans="4:20">
      <c r="K45" s="93" t="s">
        <v>1030</v>
      </c>
      <c r="L45" s="35" t="s">
        <v>1031</v>
      </c>
      <c r="M45" s="35" t="s">
        <v>10</v>
      </c>
      <c r="N45" s="35">
        <f>Coal!F12/$D$4*100</f>
        <v>2.8846731499723651E-4</v>
      </c>
      <c r="O45" s="35">
        <f>Coal!G12/$D$4*100</f>
        <v>5.7787474929503274E-4</v>
      </c>
      <c r="P45" s="35">
        <f>Coal!H12/$D$4*100</f>
        <v>2.3255813953488376E-3</v>
      </c>
      <c r="Q45" s="35">
        <f>'Oil-based'!I21</f>
        <v>0</v>
      </c>
      <c r="R45" s="35">
        <f>CtL!Q36</f>
        <v>6.1746642513664846E-5</v>
      </c>
      <c r="S45" s="35">
        <f>CtL!R36</f>
        <v>0</v>
      </c>
      <c r="T45" s="84">
        <f t="shared" si="4"/>
        <v>3.2536701021547714E-3</v>
      </c>
    </row>
    <row r="46" spans="4:20">
      <c r="K46" s="101" t="s">
        <v>1032</v>
      </c>
      <c r="L46" s="102" t="s">
        <v>1033</v>
      </c>
      <c r="M46" s="102" t="s">
        <v>9</v>
      </c>
      <c r="N46" s="694">
        <f>(N43+N44*25+N45*0.298)</f>
        <v>38.50488423113876</v>
      </c>
      <c r="O46" s="694">
        <f t="shared" ref="O46:Q46" si="5">(O43+O44*25+O45*0.298)</f>
        <v>2.5948662627654357</v>
      </c>
      <c r="P46" s="694">
        <f>(P43+P44*25+P45*0.298)</f>
        <v>115.62394883720933</v>
      </c>
      <c r="Q46" s="694">
        <f t="shared" si="5"/>
        <v>-82.172190669371219</v>
      </c>
      <c r="R46" s="694">
        <f>(R43+R44*25+R45*0.298)</f>
        <v>0.95858663514955988</v>
      </c>
      <c r="S46" s="694">
        <f t="shared" ref="S46" si="6">(S43+S44*25+S45*0.298)</f>
        <v>74.3</v>
      </c>
      <c r="T46" s="695">
        <f>SUM(N46:S46)</f>
        <v>149.81009529689186</v>
      </c>
    </row>
  </sheetData>
  <mergeCells count="1">
    <mergeCell ref="A3:A4"/>
  </mergeCells>
  <phoneticPr fontId="9" type="noConversion"/>
  <pageMargins left="0.7" right="0.7" top="0.75" bottom="0.75" header="0.3" footer="0.3"/>
  <pageSetup paperSize="9" orientation="portrait" verticalDpi="0" r:id="rId1"/>
  <drawing r:id="rId2"/>
  <legacyDrawing r:id="rId3"/>
  <oleObjects>
    <oleObject progId="Equation.DSMT4" shapeId="5122" r:id="rId4"/>
    <oleObject progId="Equation.DSMT4" shapeId="5123" r:id="rId5"/>
  </oleObjects>
</worksheet>
</file>

<file path=xl/worksheets/sheet11.xml><?xml version="1.0" encoding="utf-8"?>
<worksheet xmlns="http://schemas.openxmlformats.org/spreadsheetml/2006/main" xmlns:r="http://schemas.openxmlformats.org/officeDocument/2006/relationships">
  <dimension ref="A1:AA87"/>
  <sheetViews>
    <sheetView topLeftCell="A21" zoomScale="90" zoomScaleNormal="90" workbookViewId="0">
      <selection activeCell="D22" sqref="D22"/>
    </sheetView>
  </sheetViews>
  <sheetFormatPr defaultRowHeight="13.5"/>
  <cols>
    <col min="2" max="2" width="11.125" customWidth="1"/>
    <col min="4" max="4" width="12.75" bestFit="1" customWidth="1"/>
    <col min="7" max="7" width="12.75" bestFit="1" customWidth="1"/>
    <col min="11" max="11" width="10.5" bestFit="1" customWidth="1"/>
    <col min="15" max="15" width="12.75" bestFit="1" customWidth="1"/>
    <col min="16" max="16" width="9.5" customWidth="1"/>
    <col min="23" max="23" width="12.75" bestFit="1" customWidth="1"/>
  </cols>
  <sheetData>
    <row r="1" spans="1:27" ht="14.25" thickBot="1">
      <c r="A1" s="405" t="s">
        <v>515</v>
      </c>
      <c r="E1" s="36"/>
      <c r="F1" s="418" t="s">
        <v>531</v>
      </c>
      <c r="G1" s="37"/>
      <c r="H1" s="37"/>
      <c r="I1" s="37"/>
      <c r="J1" s="38"/>
      <c r="M1" s="36"/>
      <c r="N1" s="418" t="s">
        <v>517</v>
      </c>
      <c r="O1" s="37"/>
      <c r="P1" s="37"/>
      <c r="Q1" s="37"/>
      <c r="R1" s="38"/>
      <c r="U1" s="36"/>
      <c r="V1" s="418" t="s">
        <v>545</v>
      </c>
      <c r="W1" s="37"/>
      <c r="X1" s="37"/>
      <c r="Y1" s="37"/>
      <c r="Z1" s="38"/>
    </row>
    <row r="2" spans="1:27">
      <c r="B2" s="405" t="s">
        <v>516</v>
      </c>
      <c r="C2">
        <f>41.816</f>
        <v>41.816000000000003</v>
      </c>
      <c r="D2" s="405" t="s">
        <v>520</v>
      </c>
      <c r="E2" s="36"/>
      <c r="F2" s="413" t="s">
        <v>534</v>
      </c>
      <c r="G2" s="413" t="s">
        <v>535</v>
      </c>
      <c r="H2" s="413" t="s">
        <v>536</v>
      </c>
      <c r="I2" s="413" t="s">
        <v>537</v>
      </c>
      <c r="J2" s="416" t="s">
        <v>538</v>
      </c>
      <c r="K2" s="419" t="s">
        <v>542</v>
      </c>
      <c r="M2" s="36"/>
      <c r="N2" s="413" t="s">
        <v>534</v>
      </c>
      <c r="O2" s="413" t="s">
        <v>535</v>
      </c>
      <c r="P2" s="413" t="s">
        <v>543</v>
      </c>
      <c r="Q2" s="413" t="s">
        <v>544</v>
      </c>
      <c r="R2" s="416" t="s">
        <v>548</v>
      </c>
      <c r="S2" s="419" t="s">
        <v>542</v>
      </c>
      <c r="U2" s="36"/>
      <c r="V2" s="413" t="s">
        <v>534</v>
      </c>
      <c r="W2" s="413" t="s">
        <v>535</v>
      </c>
      <c r="X2" s="413" t="s">
        <v>546</v>
      </c>
      <c r="Y2" s="413" t="s">
        <v>547</v>
      </c>
      <c r="Z2" s="416" t="s">
        <v>549</v>
      </c>
      <c r="AA2" s="419" t="s">
        <v>542</v>
      </c>
    </row>
    <row r="3" spans="1:27">
      <c r="B3" s="405" t="s">
        <v>518</v>
      </c>
      <c r="C3">
        <f>42.652</f>
        <v>42.652000000000001</v>
      </c>
      <c r="D3" s="405" t="s">
        <v>520</v>
      </c>
      <c r="E3" s="505" t="s">
        <v>539</v>
      </c>
      <c r="F3" s="504">
        <v>1</v>
      </c>
      <c r="G3" s="504">
        <v>1</v>
      </c>
      <c r="H3" s="504">
        <f>'LC for SE'!R8/100</f>
        <v>0.95</v>
      </c>
      <c r="I3" s="504">
        <v>1</v>
      </c>
      <c r="J3" s="40"/>
      <c r="M3" s="412" t="s">
        <v>539</v>
      </c>
      <c r="N3" s="35">
        <v>1</v>
      </c>
      <c r="O3" s="35">
        <v>1</v>
      </c>
      <c r="P3" s="35">
        <f>'LC for SE'!R9/100</f>
        <v>0.95</v>
      </c>
      <c r="Q3" s="35">
        <v>1</v>
      </c>
      <c r="R3" s="40"/>
      <c r="U3" s="412" t="s">
        <v>539</v>
      </c>
      <c r="V3" s="35">
        <v>1</v>
      </c>
      <c r="W3" s="35">
        <v>1</v>
      </c>
      <c r="X3" s="35">
        <f>'LC for SE'!R10/100</f>
        <v>0.97</v>
      </c>
      <c r="Y3" s="35">
        <v>1</v>
      </c>
      <c r="Z3" s="40"/>
    </row>
    <row r="4" spans="1:27">
      <c r="B4" s="405" t="s">
        <v>517</v>
      </c>
      <c r="C4">
        <f>43.07</f>
        <v>43.07</v>
      </c>
      <c r="D4" s="405" t="s">
        <v>520</v>
      </c>
      <c r="E4" s="412" t="s">
        <v>540</v>
      </c>
      <c r="F4" s="35"/>
      <c r="G4" s="35"/>
      <c r="H4" s="35"/>
      <c r="I4" s="35"/>
      <c r="J4" s="40"/>
      <c r="M4" s="412" t="s">
        <v>540</v>
      </c>
      <c r="N4" s="35"/>
      <c r="O4" s="35"/>
      <c r="P4" s="35"/>
      <c r="Q4" s="35"/>
      <c r="R4" s="40"/>
      <c r="U4" s="412" t="s">
        <v>540</v>
      </c>
      <c r="V4" s="35"/>
      <c r="W4" s="35"/>
      <c r="X4" s="35"/>
      <c r="Y4" s="35"/>
      <c r="Z4" s="40"/>
    </row>
    <row r="5" spans="1:27">
      <c r="B5" s="405" t="s">
        <v>519</v>
      </c>
      <c r="C5">
        <f>41.816</f>
        <v>41.816000000000003</v>
      </c>
      <c r="D5" s="405" t="s">
        <v>520</v>
      </c>
      <c r="E5" s="39" t="str">
        <f>C17</f>
        <v>LCA-Coal</v>
      </c>
      <c r="F5" s="504">
        <f>D17/C47*100/H3</f>
        <v>3.6731070826015615E-2</v>
      </c>
      <c r="G5" s="504">
        <f>D36/C47*100/H3</f>
        <v>7.6483395142159169E-3</v>
      </c>
      <c r="H5" s="504">
        <f>D57</f>
        <v>3.0192737536267684E-2</v>
      </c>
      <c r="I5" s="504">
        <f>D79</f>
        <v>2.7971572740058148E-3</v>
      </c>
      <c r="J5" s="40">
        <v>0</v>
      </c>
      <c r="K5">
        <f>SUM(F5:J5)</f>
        <v>7.7369305150505024E-2</v>
      </c>
      <c r="M5" s="39" t="str">
        <f>E5</f>
        <v>LCA-Coal</v>
      </c>
      <c r="N5" s="35">
        <f>D17/I47*100/P3</f>
        <v>3.6978418104305286E-2</v>
      </c>
      <c r="O5" s="35">
        <f>D36/I47*100/P3</f>
        <v>7.6998434840086167E-3</v>
      </c>
      <c r="P5" s="35">
        <f>J57</f>
        <v>2.866052938964566E-2</v>
      </c>
      <c r="Q5" s="35">
        <f>E79</f>
        <v>2.3342550930374635E-3</v>
      </c>
      <c r="R5" s="40">
        <v>0</v>
      </c>
      <c r="S5">
        <f>SUM(N5:R5)</f>
        <v>7.5673046070997022E-2</v>
      </c>
      <c r="U5" s="39" t="str">
        <f>M5</f>
        <v>LCA-Coal</v>
      </c>
      <c r="V5" s="35">
        <f>D17/O47*100/X3</f>
        <v>3.4328122400075899E-2</v>
      </c>
      <c r="W5" s="35">
        <f>D36/O47*100</f>
        <v>6.9335452308926515E-3</v>
      </c>
      <c r="X5" s="35">
        <f>P57</f>
        <v>1.5776438196135226E-2</v>
      </c>
      <c r="Y5" s="35">
        <f>F79</f>
        <v>2.7971572740058148E-3</v>
      </c>
      <c r="Z5" s="40">
        <v>0</v>
      </c>
      <c r="AA5">
        <f>SUM(V5:Z5)</f>
        <v>5.9835263101109593E-2</v>
      </c>
    </row>
    <row r="6" spans="1:27" ht="14.25" thickBot="1">
      <c r="E6" s="39" t="str">
        <f>C18</f>
        <v>LCA-NG</v>
      </c>
      <c r="F6" s="504">
        <f>D18/C47*100/H3</f>
        <v>4.3746751981384363E-2</v>
      </c>
      <c r="G6" s="504">
        <f>D37/C47*100/H3</f>
        <v>9.5335311632136334E-4</v>
      </c>
      <c r="H6" s="504">
        <f>D58</f>
        <v>9.1354134032836688E-3</v>
      </c>
      <c r="I6" s="504">
        <f>D80</f>
        <v>5.4501075267156848E-4</v>
      </c>
      <c r="J6" s="40">
        <v>0</v>
      </c>
      <c r="K6">
        <f>SUM(F6:J6)</f>
        <v>5.4380529253660971E-2</v>
      </c>
      <c r="M6" s="39" t="str">
        <f t="shared" ref="M6:M13" si="0">E6</f>
        <v>LCA-NG</v>
      </c>
      <c r="N6" s="35">
        <f>D18/I47*100/P3</f>
        <v>4.4041342903817927E-2</v>
      </c>
      <c r="O6" s="35">
        <f>D37/I47*100/P3</f>
        <v>9.5977300262655785E-4</v>
      </c>
      <c r="P6" s="35">
        <f>J58</f>
        <v>8.6718133464005337E-3</v>
      </c>
      <c r="Q6" s="35">
        <f>E80</f>
        <v>5.5596949037206708E-4</v>
      </c>
      <c r="R6" s="40">
        <v>0</v>
      </c>
      <c r="S6">
        <f>SUM(N6:R6)</f>
        <v>5.4228898743217083E-2</v>
      </c>
      <c r="U6" s="39" t="str">
        <f>M6</f>
        <v>LCA-NG</v>
      </c>
      <c r="V6" s="35">
        <f>D18/O47*100/X3</f>
        <v>4.088483735571033E-2</v>
      </c>
      <c r="W6" s="35">
        <f>D37/O47*100</f>
        <v>8.6425516816303165E-4</v>
      </c>
      <c r="X6" s="35">
        <f>P58</f>
        <v>4.7734752365507531E-3</v>
      </c>
      <c r="Y6" s="35">
        <f>F80</f>
        <v>5.4501075267156848E-4</v>
      </c>
      <c r="Z6" s="40">
        <v>0</v>
      </c>
      <c r="AA6">
        <f>SUM(V6:Z6)</f>
        <v>4.7067578513095683E-2</v>
      </c>
    </row>
    <row r="7" spans="1:27">
      <c r="A7" s="408" t="s">
        <v>521</v>
      </c>
      <c r="B7" s="37"/>
      <c r="C7" s="502">
        <f>'Key Input'!L4</f>
        <v>0.93</v>
      </c>
      <c r="D7" s="37"/>
      <c r="E7" s="39" t="str">
        <f>C19</f>
        <v>LCA-Oil</v>
      </c>
      <c r="F7" s="504">
        <f>D19/C47*100/H3</f>
        <v>3.936502969774841E-2</v>
      </c>
      <c r="G7" s="504">
        <f>D38/C47*100/H3</f>
        <v>1.0023428574974628E-2</v>
      </c>
      <c r="H7" s="504">
        <f>D59</f>
        <v>9.8237511507565378E-2</v>
      </c>
      <c r="I7" s="504">
        <f>D81</f>
        <v>8.9344246406559066E-3</v>
      </c>
      <c r="J7" s="527">
        <v>1</v>
      </c>
      <c r="K7" s="466">
        <f>SUM(F7:J7)</f>
        <v>1.1565603944209444</v>
      </c>
      <c r="M7" s="39" t="str">
        <f t="shared" si="0"/>
        <v>LCA-Oil</v>
      </c>
      <c r="N7" s="35">
        <f>D19/I47*100/P3</f>
        <v>3.9630114072817441E-2</v>
      </c>
      <c r="O7" s="35">
        <f>D38/I47*100/P3</f>
        <v>1.0090926410496344E-2</v>
      </c>
      <c r="P7" s="35">
        <f>J59</f>
        <v>9.3252196239118429E-2</v>
      </c>
      <c r="Q7" s="35">
        <f>E81</f>
        <v>1.0209102158916267E-2</v>
      </c>
      <c r="R7" s="40">
        <v>1</v>
      </c>
      <c r="S7" s="466">
        <f>SUM(N7:R7)</f>
        <v>1.1531823388813485</v>
      </c>
      <c r="U7" s="39" t="str">
        <f>M7</f>
        <v>LCA-Oil</v>
      </c>
      <c r="V7" s="35">
        <f>D19/O47*100/X3</f>
        <v>3.6789767555315114E-2</v>
      </c>
      <c r="W7" s="35">
        <f>D38/O47*100</f>
        <v>9.0866645320900295E-3</v>
      </c>
      <c r="X7" s="35">
        <f>P59</f>
        <v>5.1331484168322068E-2</v>
      </c>
      <c r="Y7" s="35">
        <f>F81</f>
        <v>8.9344246406559066E-3</v>
      </c>
      <c r="Z7" s="40">
        <v>1</v>
      </c>
      <c r="AA7">
        <f>SUM(V7:Z7)</f>
        <v>1.1061423408963831</v>
      </c>
    </row>
    <row r="8" spans="1:27">
      <c r="A8" s="39"/>
      <c r="B8" s="409" t="s">
        <v>522</v>
      </c>
      <c r="C8" s="35" t="str">
        <f>'LC for SE'!A4</f>
        <v>原煤</v>
      </c>
      <c r="D8" s="417">
        <f>'LC for SE'!J4</f>
        <v>0.04</v>
      </c>
      <c r="E8" s="39" t="str">
        <f>C20</f>
        <v>LCA-PE</v>
      </c>
      <c r="F8" s="406">
        <f>F5+F6+F7</f>
        <v>0.1198428525051484</v>
      </c>
      <c r="G8" s="406">
        <f>G5+G6+G7</f>
        <v>1.8625121205511908E-2</v>
      </c>
      <c r="H8" s="406">
        <f>H5+H6+H7</f>
        <v>0.13756566244711674</v>
      </c>
      <c r="I8" s="406">
        <f>I5+I6+I7</f>
        <v>1.227659266733329E-2</v>
      </c>
      <c r="J8" s="411">
        <f>J5+J6+J7</f>
        <v>1</v>
      </c>
      <c r="K8" s="466">
        <f>SUM(F8:J8)</f>
        <v>1.2883102288251103</v>
      </c>
      <c r="L8" s="467">
        <f>1/K8</f>
        <v>0.77621055676314998</v>
      </c>
      <c r="M8" s="39" t="str">
        <f t="shared" si="0"/>
        <v>LCA-PE</v>
      </c>
      <c r="N8" s="406">
        <f>N5+N6+N7</f>
        <v>0.12064987508094066</v>
      </c>
      <c r="O8" s="406">
        <f>O5+O6+O7</f>
        <v>1.8750542897131517E-2</v>
      </c>
      <c r="P8" s="406">
        <f>P5+P6+P7</f>
        <v>0.13058453897516462</v>
      </c>
      <c r="Q8" s="406">
        <f>Q5+Q6+Q7</f>
        <v>1.3099326742325798E-2</v>
      </c>
      <c r="R8" s="411">
        <f>R5+R6+R7</f>
        <v>1</v>
      </c>
      <c r="S8" s="466">
        <f>SUM(N8:R8)</f>
        <v>1.2830842836955625</v>
      </c>
      <c r="T8" s="467">
        <f>1/S8</f>
        <v>0.77937202778275949</v>
      </c>
      <c r="U8" s="39" t="str">
        <f>M8</f>
        <v>LCA-PE</v>
      </c>
      <c r="V8" s="406">
        <f>V5+V6+V7</f>
        <v>0.11200272731110135</v>
      </c>
      <c r="W8" s="406">
        <f>W5+W6+W7</f>
        <v>1.6884464931145711E-2</v>
      </c>
      <c r="X8" s="406">
        <f>X5+X6+X7</f>
        <v>7.1881397601008049E-2</v>
      </c>
      <c r="Y8" s="406">
        <f>Y5+Y6+Y7</f>
        <v>1.227659266733329E-2</v>
      </c>
      <c r="Z8" s="411">
        <f>Z5+Z6+Z7</f>
        <v>1</v>
      </c>
      <c r="AA8">
        <f>SUM(V8:Z8)</f>
        <v>1.2130451825105883</v>
      </c>
    </row>
    <row r="9" spans="1:27">
      <c r="A9" s="39"/>
      <c r="B9" s="35"/>
      <c r="C9" s="35" t="str">
        <f>'LC for SE'!A5</f>
        <v>原始天然气</v>
      </c>
      <c r="D9" s="417">
        <f>'LC for SE'!J5</f>
        <v>0.43</v>
      </c>
      <c r="E9" s="39"/>
      <c r="F9" s="35"/>
      <c r="G9" s="35"/>
      <c r="H9" s="35"/>
      <c r="I9" s="35"/>
      <c r="J9" s="40"/>
      <c r="M9" s="39"/>
      <c r="N9" s="35"/>
      <c r="O9" s="35"/>
      <c r="P9" s="35"/>
      <c r="Q9" s="35"/>
      <c r="R9" s="40"/>
      <c r="U9" s="39"/>
      <c r="V9" s="35"/>
      <c r="W9" s="35"/>
      <c r="X9" s="35"/>
      <c r="Y9" s="35"/>
      <c r="Z9" s="40"/>
    </row>
    <row r="10" spans="1:27">
      <c r="A10" s="39"/>
      <c r="B10" s="35"/>
      <c r="C10" s="35" t="str">
        <f>'LC for SE'!A6</f>
        <v>原油</v>
      </c>
      <c r="D10" s="417">
        <f>'LC for SE'!J6</f>
        <v>0.28000000000000003</v>
      </c>
      <c r="E10" s="39" t="str">
        <f>C22</f>
        <v>LCA-CO2</v>
      </c>
      <c r="F10" s="35">
        <f>D22/C47*100/H3</f>
        <v>7.6905473665185173</v>
      </c>
      <c r="G10" s="35">
        <f>D41/C47*100/H3</f>
        <v>1.419109626130169</v>
      </c>
      <c r="H10" s="35">
        <f>D62</f>
        <v>9.0147010312795501</v>
      </c>
      <c r="I10" s="35">
        <f>D84</f>
        <v>0.92646801250540411</v>
      </c>
      <c r="J10" s="40">
        <f>'LC factor'!H9</f>
        <v>72.585333333333324</v>
      </c>
      <c r="K10">
        <f>SUM(F10:J10)</f>
        <v>91.636159369766972</v>
      </c>
      <c r="M10" s="39" t="str">
        <f t="shared" si="0"/>
        <v>LCA-CO2</v>
      </c>
      <c r="N10" s="35">
        <f>D22/I47*100/P3</f>
        <v>7.7423355642728504</v>
      </c>
      <c r="O10" s="35">
        <f>D41/I47*100/P3</f>
        <v>1.4286659199088236</v>
      </c>
      <c r="P10" s="35">
        <f>J62</f>
        <v>9.5398292466939036</v>
      </c>
      <c r="Q10" s="35">
        <f>E84</f>
        <v>0.98557816709093615</v>
      </c>
      <c r="R10" s="40">
        <f>'LC factor'!H10</f>
        <v>67.914000000000001</v>
      </c>
      <c r="S10">
        <f>SUM(N10:R10)</f>
        <v>87.610408897966522</v>
      </c>
      <c r="U10" s="39" t="str">
        <f>M10</f>
        <v>LCA-CO2</v>
      </c>
      <c r="V10" s="35">
        <f>D22/O47*100/X3</f>
        <v>7.1874313866843105</v>
      </c>
      <c r="W10" s="35">
        <f>D41/O47*100</f>
        <v>1.2864832637306634</v>
      </c>
      <c r="X10" s="35">
        <f>P62</f>
        <v>5.2512821541434329</v>
      </c>
      <c r="Y10" s="35">
        <f>F84</f>
        <v>0.92646801250540411</v>
      </c>
      <c r="Z10" s="40">
        <f>'LC factor'!H11</f>
        <v>75.819333333333333</v>
      </c>
      <c r="AA10">
        <f>SUM(V10:Z10)</f>
        <v>90.470998150397151</v>
      </c>
    </row>
    <row r="11" spans="1:27">
      <c r="A11" s="39"/>
      <c r="B11" s="35"/>
      <c r="C11" s="35" t="str">
        <f>'LC for SE'!A7</f>
        <v>精煤</v>
      </c>
      <c r="D11" s="417">
        <f>'LC for SE'!J7</f>
        <v>0</v>
      </c>
      <c r="E11" s="39" t="str">
        <f>C23</f>
        <v>LCA-CH4</v>
      </c>
      <c r="F11" s="35">
        <f>D23/C47*100/H3</f>
        <v>2.792613581328373E-2</v>
      </c>
      <c r="G11" s="35">
        <f>D42/C47*100/H3</f>
        <v>3.2622241654549013E-3</v>
      </c>
      <c r="H11" s="35">
        <f>D63</f>
        <v>1.2636552050258666E-2</v>
      </c>
      <c r="I11" s="35">
        <f>D85</f>
        <v>1.2840088857874684E-3</v>
      </c>
      <c r="J11" s="40">
        <f>'LC factor'!I9</f>
        <v>4.0000000000000001E-3</v>
      </c>
      <c r="K11">
        <f>SUM(F11:J11)</f>
        <v>4.9108920914784762E-2</v>
      </c>
      <c r="M11" s="39" t="str">
        <f t="shared" si="0"/>
        <v>LCA-CH4</v>
      </c>
      <c r="N11" s="35">
        <f>D23/I47*100/P3</f>
        <v>2.8114190599905171E-2</v>
      </c>
      <c r="O11" s="35">
        <f>D42/I47*100/P3</f>
        <v>3.284192004952914E-3</v>
      </c>
      <c r="P11" s="35">
        <f>J63</f>
        <v>1.3372661878429089E-2</v>
      </c>
      <c r="Q11" s="35">
        <f>E85</f>
        <v>1.1104729435819248E-3</v>
      </c>
      <c r="R11" s="40">
        <f>'LC factor'!I10</f>
        <v>0.08</v>
      </c>
      <c r="S11">
        <f>SUM(N11:R11)</f>
        <v>0.12588151742686909</v>
      </c>
      <c r="U11" s="39" t="str">
        <f>M11</f>
        <v>LCA-CH4</v>
      </c>
      <c r="V11" s="35">
        <f>D23/O47*100/X3</f>
        <v>2.6099206660769612E-2</v>
      </c>
      <c r="W11" s="35">
        <f>D42/O47*100</f>
        <v>2.957345024034462E-3</v>
      </c>
      <c r="X11" s="35">
        <f>P63</f>
        <v>7.3610982817040854E-3</v>
      </c>
      <c r="Y11" s="35">
        <f>F85</f>
        <v>1.2840088857874684E-3</v>
      </c>
      <c r="Z11" s="40">
        <f>'LC factor'!I11</f>
        <v>2E-3</v>
      </c>
      <c r="AA11">
        <f>SUM(V11:Z11)</f>
        <v>3.9701658852295631E-2</v>
      </c>
    </row>
    <row r="12" spans="1:27">
      <c r="A12" s="39"/>
      <c r="B12" s="35"/>
      <c r="C12" s="35" t="str">
        <f>'LC for SE'!A8</f>
        <v>精制天然气</v>
      </c>
      <c r="D12" s="417">
        <f>'LC for SE'!J8</f>
        <v>0</v>
      </c>
      <c r="E12" s="39" t="str">
        <f>C24</f>
        <v>LCA-N2O</v>
      </c>
      <c r="F12" s="35">
        <f>D24/C47*100/H3</f>
        <v>3.1092671852512964E-4</v>
      </c>
      <c r="G12" s="35">
        <f>D43/C47*100/H3</f>
        <v>2.2929415886280858E-5</v>
      </c>
      <c r="H12" s="35">
        <f>D64</f>
        <v>7.0103963843527725E-5</v>
      </c>
      <c r="I12" s="35">
        <f>D86</f>
        <v>6.1746642513664846E-5</v>
      </c>
      <c r="J12" s="40">
        <f>'LC factor'!J9</f>
        <v>2.8000000000000001E-2</v>
      </c>
      <c r="K12">
        <f>SUM(F12:J12)</f>
        <v>2.8465706740768603E-2</v>
      </c>
      <c r="M12" s="39" t="str">
        <f t="shared" si="0"/>
        <v>LCA-N2O</v>
      </c>
      <c r="N12" s="35">
        <f>D24/I47*100/P3</f>
        <v>3.1302050114146048E-4</v>
      </c>
      <c r="O12" s="35">
        <f>D43/I47*100/P3</f>
        <v>2.3083822727265918E-5</v>
      </c>
      <c r="P12" s="35">
        <f>J64</f>
        <v>7.4187689892665347E-5</v>
      </c>
      <c r="Q12" s="35">
        <f>E86</f>
        <v>6.0883237366178863E-5</v>
      </c>
      <c r="R12" s="40">
        <f>'LC factor'!J10</f>
        <v>2E-3</v>
      </c>
      <c r="S12">
        <f>SUM(N12:R12)</f>
        <v>2.4711752511275705E-3</v>
      </c>
      <c r="U12" s="39" t="str">
        <f>M12</f>
        <v>LCA-N2O</v>
      </c>
      <c r="V12" s="35">
        <f>D24/O47*100/X3</f>
        <v>2.9058587759507479E-4</v>
      </c>
      <c r="W12" s="35">
        <f>D43/O47*100</f>
        <v>2.0786491220738548E-5</v>
      </c>
      <c r="X12" s="35">
        <f>P64</f>
        <v>4.0837260491375421E-5</v>
      </c>
      <c r="Y12" s="35">
        <f>F86</f>
        <v>6.1746642513664846E-5</v>
      </c>
      <c r="Z12" s="40">
        <f>'LC factor'!J11</f>
        <v>0</v>
      </c>
      <c r="AA12">
        <f>SUM(V12:Z12)</f>
        <v>4.1395627182085358E-4</v>
      </c>
    </row>
    <row r="13" spans="1:27" ht="14.25" thickBot="1">
      <c r="A13" s="39"/>
      <c r="B13" s="35"/>
      <c r="C13" s="35" t="str">
        <f>'LC for SE'!A9</f>
        <v>柴油</v>
      </c>
      <c r="D13" s="417">
        <f>'LC for SE'!J9</f>
        <v>0.09</v>
      </c>
      <c r="E13" s="41" t="str">
        <f>C25</f>
        <v>LCA-GHG</v>
      </c>
      <c r="F13" s="407">
        <f>(F10+F11*25+F12*0.298)</f>
        <v>8.3887934180127317</v>
      </c>
      <c r="G13" s="407">
        <f t="shared" ref="G13:I13" si="1">(G10+G11*25+G12*0.298)</f>
        <v>1.5006720632324757</v>
      </c>
      <c r="H13" s="407">
        <f t="shared" si="1"/>
        <v>9.3306357235172435</v>
      </c>
      <c r="I13" s="407">
        <f t="shared" si="1"/>
        <v>0.95858663514955988</v>
      </c>
      <c r="J13" s="407">
        <f>(J10+J11*25+J12*0.298)</f>
        <v>72.693677333333312</v>
      </c>
      <c r="K13" s="420">
        <f>SUM(F13:J13)</f>
        <v>92.872365173245328</v>
      </c>
      <c r="M13" s="39" t="str">
        <f t="shared" si="0"/>
        <v>LCA-GHG</v>
      </c>
      <c r="N13" s="407">
        <f t="shared" ref="N13:R13" si="2">(N10+N11*25+N12*0.298)</f>
        <v>8.4452836093798194</v>
      </c>
      <c r="O13" s="407">
        <f t="shared" si="2"/>
        <v>1.5107775990118193</v>
      </c>
      <c r="P13" s="407">
        <f t="shared" si="2"/>
        <v>9.8741679015862189</v>
      </c>
      <c r="Q13" s="407">
        <f t="shared" si="2"/>
        <v>1.0133581338852193</v>
      </c>
      <c r="R13" s="407">
        <f t="shared" si="2"/>
        <v>69.914596000000003</v>
      </c>
      <c r="S13" s="420">
        <f>SUM(N13:R13)</f>
        <v>90.758183243863073</v>
      </c>
      <c r="U13" s="39" t="str">
        <f>M13</f>
        <v>LCA-GHG</v>
      </c>
      <c r="V13" s="407">
        <f t="shared" ref="V13" si="3">(V10+V11*25+V12*0.298)</f>
        <v>7.8399981477950744</v>
      </c>
      <c r="W13" s="407">
        <f t="shared" ref="W13" si="4">(W10+W11*25+W12*0.298)</f>
        <v>1.3604230837059088</v>
      </c>
      <c r="X13" s="407">
        <f t="shared" ref="X13" si="5">(X10+X11*25+X12*0.298)</f>
        <v>5.4353217806896614</v>
      </c>
      <c r="Y13" s="407">
        <f t="shared" ref="Y13" si="6">(Y10+Y11*25+Y12*0.298)</f>
        <v>0.95858663514955988</v>
      </c>
      <c r="Z13" s="407">
        <f t="shared" ref="Z13" si="7">(Z10+Z11*25+Z12*0.298)</f>
        <v>75.86933333333333</v>
      </c>
      <c r="AA13" s="420">
        <f>SUM(V13:Z13)</f>
        <v>91.463662980673533</v>
      </c>
    </row>
    <row r="14" spans="1:27">
      <c r="A14" s="39"/>
      <c r="B14" s="35"/>
      <c r="C14" s="35" t="str">
        <f>'LC for SE'!A10</f>
        <v>汽油</v>
      </c>
      <c r="D14" s="410">
        <f>'LC for SE'!J10</f>
        <v>0.01</v>
      </c>
      <c r="F14" s="429">
        <f>F13/K13</f>
        <v>9.032604480745339E-2</v>
      </c>
      <c r="G14" s="429">
        <f>G13/K13</f>
        <v>1.6158434863084433E-2</v>
      </c>
      <c r="H14" s="429">
        <f>H13/K13</f>
        <v>0.10046729946105877</v>
      </c>
      <c r="I14" s="429">
        <f>I13/K13</f>
        <v>1.0321548647559475E-2</v>
      </c>
      <c r="J14" s="429">
        <f>J13/K13</f>
        <v>0.78272667222084391</v>
      </c>
      <c r="N14" s="429">
        <f>N13/S13</f>
        <v>9.3052585535870966E-2</v>
      </c>
      <c r="O14" s="429">
        <f>O13/S13</f>
        <v>1.6646185996831042E-2</v>
      </c>
      <c r="P14" s="429">
        <f>P13/S13</f>
        <v>0.10879644731378969</v>
      </c>
      <c r="Q14" s="429">
        <f>Q13/S13</f>
        <v>1.1165473984449122E-2</v>
      </c>
      <c r="R14" s="429">
        <f>R13/S13</f>
        <v>0.7703393071690593</v>
      </c>
      <c r="V14" s="429">
        <f>V13/AA13</f>
        <v>8.5717080338797311E-2</v>
      </c>
      <c r="W14" s="429">
        <f>W13/AA13</f>
        <v>1.4873918662030507E-2</v>
      </c>
      <c r="X14" s="429">
        <f>X13/AA13</f>
        <v>5.9426023445378048E-2</v>
      </c>
      <c r="Y14" s="429">
        <f>Y13/AA13</f>
        <v>1.0480518753683759E-2</v>
      </c>
      <c r="Z14" s="429">
        <f>Z13/AA13</f>
        <v>0.82950245880011042</v>
      </c>
    </row>
    <row r="15" spans="1:27">
      <c r="A15" s="39"/>
      <c r="B15" s="35"/>
      <c r="C15" s="35" t="str">
        <f>'LC for SE'!A11</f>
        <v>燃料油</v>
      </c>
      <c r="D15" s="410">
        <f>'LC for SE'!J11</f>
        <v>0.01</v>
      </c>
      <c r="V15" s="405" t="s">
        <v>580</v>
      </c>
      <c r="W15" s="405" t="s">
        <v>581</v>
      </c>
      <c r="X15" s="405" t="s">
        <v>582</v>
      </c>
    </row>
    <row r="16" spans="1:27">
      <c r="A16" s="39"/>
      <c r="B16" s="417"/>
      <c r="C16" s="35" t="str">
        <f>'LC for SE'!A12</f>
        <v>电力</v>
      </c>
      <c r="D16" s="410">
        <f>'LC for SE'!J12</f>
        <v>0.14000000000000001</v>
      </c>
      <c r="V16" s="430">
        <f>V14+W14+X14</f>
        <v>0.16001702244620586</v>
      </c>
      <c r="W16" s="430">
        <f>Y14</f>
        <v>1.0480518753683759E-2</v>
      </c>
      <c r="X16" s="430">
        <f>Z14</f>
        <v>0.82950245880011042</v>
      </c>
    </row>
    <row r="17" spans="1:4">
      <c r="A17" s="39"/>
      <c r="B17" s="409" t="s">
        <v>523</v>
      </c>
      <c r="C17" s="35" t="str">
        <f>'NG-based'!H13</f>
        <v>LCA-Coal</v>
      </c>
      <c r="D17" s="40">
        <f>SUMPRODUCT(D8:D16,'LC factor'!B4:B12)*(1/C7-1)</f>
        <v>3.1300382004389206E-2</v>
      </c>
    </row>
    <row r="18" spans="1:4">
      <c r="A18" s="39"/>
      <c r="B18" s="35"/>
      <c r="C18" s="35" t="str">
        <f>'NG-based'!H14</f>
        <v>LCA-NG</v>
      </c>
      <c r="D18" s="40">
        <f>SUMPRODUCT(D8:D16,'LC factor'!C4:C12)*(1/C7-1)</f>
        <v>3.7278794700936681E-2</v>
      </c>
    </row>
    <row r="19" spans="1:4">
      <c r="A19" s="39"/>
      <c r="B19" s="35"/>
      <c r="C19" s="35" t="str">
        <f>'NG-based'!H15</f>
        <v>LCA-Oil</v>
      </c>
      <c r="D19" s="40">
        <f>SUMPRODUCT(D8:D16,'LC factor'!D4:D12)*(1/C7-1)</f>
        <v>3.3544910056936314E-2</v>
      </c>
    </row>
    <row r="20" spans="1:4">
      <c r="A20" s="39"/>
      <c r="B20" s="35"/>
      <c r="C20" s="35" t="str">
        <f>'NG-based'!H16</f>
        <v>LCA-PE</v>
      </c>
      <c r="D20" s="411">
        <f>D17+D18+D19</f>
        <v>0.1021240867622622</v>
      </c>
    </row>
    <row r="21" spans="1:4">
      <c r="A21" s="39"/>
      <c r="B21" s="35"/>
      <c r="C21" s="35"/>
      <c r="D21" s="40"/>
    </row>
    <row r="22" spans="1:4">
      <c r="A22" s="39"/>
      <c r="B22" s="35"/>
      <c r="C22" s="35" t="str">
        <f>'NG-based'!H18</f>
        <v>LCA-CO2</v>
      </c>
      <c r="D22" s="40">
        <f>SUMPRODUCT(D8:D16,'LC factor'!L4:L12)*(1-C7)</f>
        <v>6.5534999383787538</v>
      </c>
    </row>
    <row r="23" spans="1:4">
      <c r="A23" s="39"/>
      <c r="B23" s="35"/>
      <c r="C23" s="35" t="str">
        <f>'NG-based'!H19</f>
        <v>LCA-CH4</v>
      </c>
      <c r="D23" s="40">
        <f>SUMPRODUCT(D8:D16,'LC factor'!M4:M12)*(1-C7)+0.009</f>
        <v>2.3797256633289729E-2</v>
      </c>
    </row>
    <row r="24" spans="1:4">
      <c r="A24" s="39"/>
      <c r="B24" s="35"/>
      <c r="C24" s="35" t="str">
        <f>'NG-based'!H20</f>
        <v>LCA-N2O</v>
      </c>
      <c r="D24" s="40">
        <f>SUMPRODUCT(D8:D16,'LC factor'!N4:N12)*(1-C7)</f>
        <v>2.6495620319118919E-4</v>
      </c>
    </row>
    <row r="25" spans="1:4" ht="14.25" thickBot="1">
      <c r="A25" s="39"/>
      <c r="B25" s="35"/>
      <c r="C25" s="35" t="str">
        <f>'NG-based'!H21</f>
        <v>LCA-GHG</v>
      </c>
      <c r="D25" s="407">
        <f>(D22+D23*25+D24*0.298)</f>
        <v>7.1485103111595478</v>
      </c>
    </row>
    <row r="26" spans="1:4">
      <c r="A26" s="408" t="s">
        <v>524</v>
      </c>
      <c r="B26" s="413" t="s">
        <v>525</v>
      </c>
      <c r="C26" s="503">
        <f>'Key Input'!L5</f>
        <v>0.99</v>
      </c>
      <c r="D26" s="38"/>
    </row>
    <row r="27" spans="1:4">
      <c r="A27" s="39"/>
      <c r="B27" s="409" t="s">
        <v>522</v>
      </c>
      <c r="C27" s="35" t="str">
        <f>C8</f>
        <v>原煤</v>
      </c>
      <c r="D27" s="410">
        <f>'LC for SE'!K15</f>
        <v>0</v>
      </c>
    </row>
    <row r="28" spans="1:4">
      <c r="A28" s="39"/>
      <c r="B28" s="35"/>
      <c r="C28" s="35" t="str">
        <f t="shared" ref="C28:C35" si="8">C9</f>
        <v>原始天然气</v>
      </c>
      <c r="D28" s="410">
        <f>'LC for SE'!K16</f>
        <v>0</v>
      </c>
    </row>
    <row r="29" spans="1:4">
      <c r="A29" s="39"/>
      <c r="B29" s="35"/>
      <c r="C29" s="35" t="str">
        <f t="shared" si="8"/>
        <v>原油</v>
      </c>
      <c r="D29" s="410">
        <f>'LC for SE'!K17</f>
        <v>0</v>
      </c>
    </row>
    <row r="30" spans="1:4">
      <c r="A30" s="39"/>
      <c r="B30" s="35"/>
      <c r="C30" s="35" t="str">
        <f t="shared" si="8"/>
        <v>精煤</v>
      </c>
      <c r="D30" s="410">
        <f>'LC for SE'!K18</f>
        <v>0</v>
      </c>
    </row>
    <row r="31" spans="1:4">
      <c r="A31" s="39"/>
      <c r="B31" s="35"/>
      <c r="C31" s="35" t="str">
        <f t="shared" si="8"/>
        <v>精制天然气</v>
      </c>
      <c r="D31" s="410">
        <f>'LC for SE'!K19</f>
        <v>0</v>
      </c>
    </row>
    <row r="32" spans="1:4">
      <c r="A32" s="39"/>
      <c r="B32" s="35"/>
      <c r="C32" s="35" t="str">
        <f t="shared" si="8"/>
        <v>柴油</v>
      </c>
      <c r="D32" s="410">
        <f>'LC for SE'!K20</f>
        <v>0.03</v>
      </c>
    </row>
    <row r="33" spans="1:16">
      <c r="A33" s="39"/>
      <c r="B33" s="35"/>
      <c r="C33" s="35" t="str">
        <f t="shared" si="8"/>
        <v>汽油</v>
      </c>
      <c r="D33" s="410">
        <f>'LC for SE'!K21</f>
        <v>0</v>
      </c>
    </row>
    <row r="34" spans="1:16">
      <c r="A34" s="39"/>
      <c r="B34" s="35"/>
      <c r="C34" s="35" t="str">
        <f t="shared" si="8"/>
        <v>燃料油</v>
      </c>
      <c r="D34" s="410">
        <f>'LC for SE'!K22</f>
        <v>0.72</v>
      </c>
    </row>
    <row r="35" spans="1:16">
      <c r="A35" s="39"/>
      <c r="B35" s="35"/>
      <c r="C35" s="35" t="str">
        <f t="shared" si="8"/>
        <v>电力</v>
      </c>
      <c r="D35" s="410">
        <f>'LC for SE'!K23</f>
        <v>0.25</v>
      </c>
    </row>
    <row r="36" spans="1:16">
      <c r="A36" s="39"/>
      <c r="B36" s="409" t="s">
        <v>523</v>
      </c>
      <c r="C36" s="35" t="str">
        <f>C17</f>
        <v>LCA-Coal</v>
      </c>
      <c r="D36" s="40">
        <f>SUMPRODUCT(D27:D35,'LC factor'!B4:B12)*(1/C26-1)</f>
        <v>6.5175325170390933E-3</v>
      </c>
    </row>
    <row r="37" spans="1:16">
      <c r="A37" s="39"/>
      <c r="B37" s="35"/>
      <c r="C37" s="35" t="str">
        <f>C18</f>
        <v>LCA-NG</v>
      </c>
      <c r="D37" s="40">
        <f>SUMPRODUCT(D27:D35,'LC factor'!C4:C12)*(1/C26-1)</f>
        <v>8.1239985807324982E-4</v>
      </c>
    </row>
    <row r="38" spans="1:16">
      <c r="A38" s="39"/>
      <c r="B38" s="35"/>
      <c r="C38" s="35" t="str">
        <f>C19</f>
        <v>LCA-Oil</v>
      </c>
      <c r="D38" s="40">
        <f>SUMPRODUCT(D27:D35,'LC factor'!D4:D12)*(1/C26-1)</f>
        <v>8.5414646601646282E-3</v>
      </c>
    </row>
    <row r="39" spans="1:16">
      <c r="A39" s="39"/>
      <c r="B39" s="35"/>
      <c r="C39" s="35" t="str">
        <f>C20</f>
        <v>LCA-PE</v>
      </c>
      <c r="D39" s="411">
        <f>D36+D37+D38</f>
        <v>1.5871397035276971E-2</v>
      </c>
    </row>
    <row r="40" spans="1:16">
      <c r="A40" s="39"/>
      <c r="B40" s="35"/>
      <c r="C40" s="35"/>
      <c r="D40" s="40"/>
    </row>
    <row r="41" spans="1:16">
      <c r="A41" s="39"/>
      <c r="B41" s="35"/>
      <c r="C41" s="35" t="str">
        <f>C22</f>
        <v>LCA-CO2</v>
      </c>
      <c r="D41" s="40">
        <f>SUMPRODUCT(D27:D35,'LC factor'!L4:L12)*(1-C26)</f>
        <v>1.2092942679068235</v>
      </c>
    </row>
    <row r="42" spans="1:16">
      <c r="A42" s="39"/>
      <c r="B42" s="35"/>
      <c r="C42" s="35" t="str">
        <f>C23</f>
        <v>LCA-CH4</v>
      </c>
      <c r="D42" s="40">
        <f>SUMPRODUCT(D27:D35,'LC factor'!M4:M12)*(1-C26)</f>
        <v>2.7799043225923943E-3</v>
      </c>
    </row>
    <row r="43" spans="1:16">
      <c r="A43" s="39"/>
      <c r="B43" s="35"/>
      <c r="C43" s="35" t="str">
        <f>C24</f>
        <v>LCA-N2O</v>
      </c>
      <c r="D43" s="40">
        <f>SUMPRODUCT(D27:D35,'LC factor'!N4:N12)*(1-C26)</f>
        <v>1.9539301747494233E-5</v>
      </c>
    </row>
    <row r="44" spans="1:16" ht="14.25" thickBot="1">
      <c r="A44" s="41"/>
      <c r="B44" s="42"/>
      <c r="C44" s="42" t="str">
        <f>C25</f>
        <v>LCA-GHG</v>
      </c>
      <c r="D44" s="407">
        <f>(D41+D42*25+D43*0.298)</f>
        <v>1.2787976986835541</v>
      </c>
    </row>
    <row r="45" spans="1:16" ht="14.25" thickBot="1"/>
    <row r="46" spans="1:16">
      <c r="A46" s="523" t="s">
        <v>526</v>
      </c>
      <c r="B46" s="524"/>
      <c r="C46" s="524"/>
      <c r="D46" s="525"/>
      <c r="E46" s="490"/>
      <c r="F46" s="490"/>
      <c r="G46" s="490"/>
      <c r="H46" s="490"/>
      <c r="I46" s="490"/>
      <c r="J46" s="490"/>
      <c r="K46" s="490"/>
      <c r="L46" s="490"/>
      <c r="M46" s="490"/>
      <c r="N46" s="490"/>
      <c r="O46" s="490"/>
      <c r="P46" s="490"/>
    </row>
    <row r="47" spans="1:16">
      <c r="A47" s="490"/>
      <c r="B47" s="382" t="str">
        <f>'LC factor'!A9</f>
        <v>柴油</v>
      </c>
      <c r="C47" s="504">
        <f>'Key Input'!L7*100</f>
        <v>89.7</v>
      </c>
      <c r="D47" s="456" t="s">
        <v>527</v>
      </c>
      <c r="E47" s="490"/>
      <c r="F47" s="490"/>
      <c r="G47" s="490"/>
      <c r="H47" s="382" t="str">
        <f>'LC factor'!A10</f>
        <v>汽油</v>
      </c>
      <c r="I47" s="504">
        <f>'Key Input'!L6*100</f>
        <v>89.1</v>
      </c>
      <c r="J47" s="456" t="s">
        <v>527</v>
      </c>
      <c r="K47" s="490"/>
      <c r="L47" s="490"/>
      <c r="M47" s="490"/>
      <c r="N47" s="382" t="str">
        <f>'LC factor'!A11</f>
        <v>燃料油</v>
      </c>
      <c r="O47" s="504">
        <f>'LC for SE'!Q10</f>
        <v>94</v>
      </c>
      <c r="P47" s="456" t="s">
        <v>527</v>
      </c>
    </row>
    <row r="48" spans="1:16">
      <c r="B48" t="str">
        <f>H48</f>
        <v>能耗结构</v>
      </c>
      <c r="C48" t="str">
        <f>I48</f>
        <v>原煤</v>
      </c>
      <c r="D48">
        <f>J48</f>
        <v>5.5608010394595078E-2</v>
      </c>
      <c r="H48" t="str">
        <f>N48</f>
        <v>能耗结构</v>
      </c>
      <c r="I48" t="str">
        <f>O48</f>
        <v>原煤</v>
      </c>
      <c r="J48" s="466">
        <f>P48</f>
        <v>5.5608010394595078E-2</v>
      </c>
      <c r="M48" s="39"/>
      <c r="N48" s="409" t="s">
        <v>528</v>
      </c>
      <c r="O48" s="35" t="str">
        <f>'LC for SE'!A15</f>
        <v>原煤</v>
      </c>
      <c r="P48" s="410">
        <f>'LC for SE'!L15</f>
        <v>5.5608010394595078E-2</v>
      </c>
    </row>
    <row r="49" spans="2:16">
      <c r="C49" t="str">
        <f t="shared" ref="C49:D56" si="9">I49</f>
        <v>原始天然气</v>
      </c>
      <c r="D49">
        <f t="shared" si="9"/>
        <v>0</v>
      </c>
      <c r="I49" t="str">
        <f t="shared" ref="I49:J56" si="10">O49</f>
        <v>原始天然气</v>
      </c>
      <c r="J49">
        <f t="shared" si="10"/>
        <v>0</v>
      </c>
      <c r="M49" s="39"/>
      <c r="N49" s="409"/>
      <c r="O49" s="35" t="str">
        <f>'LC for SE'!A16</f>
        <v>原始天然气</v>
      </c>
      <c r="P49" s="410">
        <f>'LC for SE'!L16</f>
        <v>0</v>
      </c>
    </row>
    <row r="50" spans="2:16">
      <c r="C50" t="str">
        <f t="shared" si="9"/>
        <v>原油</v>
      </c>
      <c r="D50">
        <f t="shared" si="9"/>
        <v>0.79092999868530911</v>
      </c>
      <c r="I50" t="str">
        <f t="shared" si="10"/>
        <v>原油</v>
      </c>
      <c r="J50">
        <f t="shared" si="10"/>
        <v>0.79092999868530911</v>
      </c>
      <c r="M50" s="39"/>
      <c r="N50" s="35"/>
      <c r="O50" s="35" t="str">
        <f>'LC for SE'!A17</f>
        <v>原油</v>
      </c>
      <c r="P50" s="410">
        <f>'LC for SE'!L17</f>
        <v>0.79092999868530911</v>
      </c>
    </row>
    <row r="51" spans="2:16">
      <c r="C51" t="str">
        <f t="shared" si="9"/>
        <v>精煤</v>
      </c>
      <c r="D51">
        <f t="shared" si="9"/>
        <v>3.0320699210673235E-2</v>
      </c>
      <c r="I51" t="str">
        <f t="shared" si="10"/>
        <v>精煤</v>
      </c>
      <c r="J51">
        <f t="shared" si="10"/>
        <v>3.0320699210673235E-2</v>
      </c>
      <c r="M51" s="39"/>
      <c r="N51" s="35"/>
      <c r="O51" s="35" t="str">
        <f>'LC for SE'!A18</f>
        <v>精煤</v>
      </c>
      <c r="P51" s="410">
        <f>'LC for SE'!L18</f>
        <v>3.0320699210673235E-2</v>
      </c>
    </row>
    <row r="52" spans="2:16">
      <c r="C52" t="str">
        <f t="shared" si="9"/>
        <v>精制天然气</v>
      </c>
      <c r="D52" s="466">
        <f>J52</f>
        <v>3.5408723742464003E-2</v>
      </c>
      <c r="I52" t="str">
        <f t="shared" si="10"/>
        <v>精制天然气</v>
      </c>
      <c r="J52" s="466">
        <f>P52</f>
        <v>3.5408723742464003E-2</v>
      </c>
      <c r="M52" s="39"/>
      <c r="N52" s="35"/>
      <c r="O52" s="35" t="str">
        <f>'LC for SE'!A19</f>
        <v>精制天然气</v>
      </c>
      <c r="P52" s="410">
        <f>'LC for SE'!L19</f>
        <v>3.5408723742464003E-2</v>
      </c>
    </row>
    <row r="53" spans="2:16">
      <c r="C53" t="str">
        <f t="shared" si="9"/>
        <v>柴油</v>
      </c>
      <c r="D53">
        <f t="shared" si="9"/>
        <v>2.9341510596920888E-3</v>
      </c>
      <c r="I53" t="str">
        <f t="shared" si="10"/>
        <v>柴油</v>
      </c>
      <c r="J53">
        <f t="shared" si="10"/>
        <v>2.9341510596920888E-3</v>
      </c>
      <c r="M53" s="39"/>
      <c r="N53" s="35"/>
      <c r="O53" s="35" t="str">
        <f>'LC for SE'!A20</f>
        <v>柴油</v>
      </c>
      <c r="P53" s="410">
        <f>'LC for SE'!L20</f>
        <v>2.9341510596920888E-3</v>
      </c>
    </row>
    <row r="54" spans="2:16">
      <c r="C54" t="str">
        <f t="shared" si="9"/>
        <v>汽油</v>
      </c>
      <c r="D54">
        <f t="shared" si="9"/>
        <v>4.545074262962084E-3</v>
      </c>
      <c r="I54" t="str">
        <f t="shared" si="10"/>
        <v>汽油</v>
      </c>
      <c r="J54" s="466">
        <f>P54</f>
        <v>4.545074262962084E-3</v>
      </c>
      <c r="M54" s="39"/>
      <c r="N54" s="35"/>
      <c r="O54" s="35" t="str">
        <f>'LC for SE'!A21</f>
        <v>汽油</v>
      </c>
      <c r="P54" s="410">
        <f>'LC for SE'!L21</f>
        <v>4.545074262962084E-3</v>
      </c>
    </row>
    <row r="55" spans="2:16">
      <c r="C55" t="str">
        <f t="shared" si="9"/>
        <v>燃料油</v>
      </c>
      <c r="D55">
        <f t="shared" si="9"/>
        <v>2.0938586860944974E-2</v>
      </c>
      <c r="I55" t="str">
        <f t="shared" si="10"/>
        <v>燃料油</v>
      </c>
      <c r="J55">
        <f t="shared" si="10"/>
        <v>2.0938586860944974E-2</v>
      </c>
      <c r="M55" s="39"/>
      <c r="N55" s="35"/>
      <c r="O55" s="35" t="str">
        <f>'LC for SE'!A22</f>
        <v>燃料油</v>
      </c>
      <c r="P55" s="410">
        <f>'LC for SE'!L22</f>
        <v>2.0938586860944974E-2</v>
      </c>
    </row>
    <row r="56" spans="2:16" ht="14.25" thickBot="1">
      <c r="C56" t="str">
        <f t="shared" si="9"/>
        <v>电力</v>
      </c>
      <c r="D56">
        <f t="shared" si="9"/>
        <v>5.9314755783359423E-2</v>
      </c>
      <c r="I56" t="str">
        <f t="shared" si="10"/>
        <v>电力</v>
      </c>
      <c r="J56">
        <f t="shared" si="10"/>
        <v>5.9314755783359423E-2</v>
      </c>
      <c r="M56" s="41"/>
      <c r="N56" s="42"/>
      <c r="O56" s="42" t="str">
        <f>'LC for SE'!A23</f>
        <v>电力</v>
      </c>
      <c r="P56" s="415">
        <f>'LC for SE'!L23</f>
        <v>5.9314755783359423E-2</v>
      </c>
    </row>
    <row r="57" spans="2:16">
      <c r="B57" t="str">
        <f>H57</f>
        <v>对应得到1MJ</v>
      </c>
      <c r="C57" t="str">
        <f>I57</f>
        <v>LCA-Coal</v>
      </c>
      <c r="D57" s="40">
        <f>SUMPRODUCT(D48:D56,'LC factor'!B4:B12)*(100/C47-1)</f>
        <v>3.0192737536267684E-2</v>
      </c>
      <c r="H57" t="str">
        <f>N57</f>
        <v>对应得到1MJ</v>
      </c>
      <c r="I57" t="str">
        <f>O57</f>
        <v>LCA-Coal</v>
      </c>
      <c r="J57" s="40">
        <f>SUMPRODUCT(J48:J56,'LC factor'!B4:B12)*(1-I47/100)</f>
        <v>2.866052938964566E-2</v>
      </c>
      <c r="N57" s="409" t="s">
        <v>541</v>
      </c>
      <c r="O57" s="35" t="str">
        <f>C36</f>
        <v>LCA-Coal</v>
      </c>
      <c r="P57" s="40">
        <f>SUMPRODUCT(P48:P56,'LC factor'!B4:B12)*(1-O47/100)</f>
        <v>1.5776438196135226E-2</v>
      </c>
    </row>
    <row r="58" spans="2:16">
      <c r="C58" t="str">
        <f>I58</f>
        <v>LCA-NG</v>
      </c>
      <c r="D58" s="40">
        <f>SUMPRODUCT(D48:D56,'LC factor'!C4:C12)*(100/C47-1)</f>
        <v>9.1354134032836688E-3</v>
      </c>
      <c r="I58" t="str">
        <f>O58</f>
        <v>LCA-NG</v>
      </c>
      <c r="J58" s="40">
        <f>SUMPRODUCT(J48:J56,'LC factor'!C4:C12)*(1-I47/100)</f>
        <v>8.6718133464005337E-3</v>
      </c>
      <c r="N58" s="35"/>
      <c r="O58" s="35" t="str">
        <f>C37</f>
        <v>LCA-NG</v>
      </c>
      <c r="P58" s="40">
        <f>SUMPRODUCT(P48:P56,'LC factor'!C4:C12)*(1-O47/100)</f>
        <v>4.7734752365507531E-3</v>
      </c>
    </row>
    <row r="59" spans="2:16">
      <c r="C59" t="str">
        <f>I59</f>
        <v>LCA-Oil</v>
      </c>
      <c r="D59" s="40">
        <f>SUMPRODUCT(D48:D56,'LC factor'!D4:D12)*(100/C47-1)</f>
        <v>9.8237511507565378E-2</v>
      </c>
      <c r="I59" t="str">
        <f>O59</f>
        <v>LCA-Oil</v>
      </c>
      <c r="J59" s="40">
        <f>SUMPRODUCT(J48:J56,'LC factor'!D4:D12)*(1-I47/100)</f>
        <v>9.3252196239118429E-2</v>
      </c>
      <c r="N59" s="35"/>
      <c r="O59" s="35" t="str">
        <f>C38</f>
        <v>LCA-Oil</v>
      </c>
      <c r="P59" s="40">
        <f>SUMPRODUCT(P48:P56,'LC factor'!D4:D12)*(1-O47/100)</f>
        <v>5.1331484168322068E-2</v>
      </c>
    </row>
    <row r="60" spans="2:16">
      <c r="C60" t="str">
        <f>I60</f>
        <v>LCA-PE</v>
      </c>
      <c r="D60" s="411">
        <f>D57+D58+D59</f>
        <v>0.13756566244711674</v>
      </c>
      <c r="I60" t="str">
        <f>O60</f>
        <v>LCA-PE</v>
      </c>
      <c r="J60" s="411">
        <f>J57+J58+J59</f>
        <v>0.13058453897516462</v>
      </c>
      <c r="N60" s="35"/>
      <c r="O60" s="35" t="str">
        <f>C39</f>
        <v>LCA-PE</v>
      </c>
      <c r="P60" s="411">
        <f>P57+P58+P59</f>
        <v>7.1881397601008049E-2</v>
      </c>
    </row>
    <row r="61" spans="2:16">
      <c r="D61" s="40"/>
      <c r="J61" s="40"/>
      <c r="N61" s="35"/>
      <c r="O61" s="35"/>
      <c r="P61" s="40"/>
    </row>
    <row r="62" spans="2:16">
      <c r="C62" t="str">
        <f>I62</f>
        <v>LCA-CO2</v>
      </c>
      <c r="D62" s="40">
        <f>SUMPRODUCT(D48:D56,'LC factor'!L4:L12)*(1-C47/100)</f>
        <v>9.0147010312795501</v>
      </c>
      <c r="I62" t="str">
        <f>O62</f>
        <v>LCA-CO2</v>
      </c>
      <c r="J62" s="40">
        <f>SUMPRODUCT(J48:J56,'LC factor'!L4:L12)*(1-I47/100)</f>
        <v>9.5398292466939036</v>
      </c>
      <c r="N62" s="35"/>
      <c r="O62" s="35" t="str">
        <f>C41</f>
        <v>LCA-CO2</v>
      </c>
      <c r="P62" s="40">
        <f>SUMPRODUCT(P48:P56,'LC factor'!L4:L12)*(1-O47/100)</f>
        <v>5.2512821541434329</v>
      </c>
    </row>
    <row r="63" spans="2:16">
      <c r="C63" t="str">
        <f>I63</f>
        <v>LCA-CH4</v>
      </c>
      <c r="D63" s="40">
        <f>SUMPRODUCT(D48:D56,'LC factor'!M4:M12)*(1-C47/100)</f>
        <v>1.2636552050258666E-2</v>
      </c>
      <c r="I63" t="str">
        <f>O63</f>
        <v>LCA-CH4</v>
      </c>
      <c r="J63" s="40">
        <f>SUMPRODUCT(J48:J56,'LC factor'!M4:M12)*(1-I47/100)</f>
        <v>1.3372661878429089E-2</v>
      </c>
      <c r="N63" s="35"/>
      <c r="O63" s="35" t="str">
        <f>C42</f>
        <v>LCA-CH4</v>
      </c>
      <c r="P63" s="40">
        <f>SUMPRODUCT(P48:P56,'LC factor'!M4:M12)*(1-O47/100)</f>
        <v>7.3610982817040854E-3</v>
      </c>
    </row>
    <row r="64" spans="2:16">
      <c r="C64" t="str">
        <f>I64</f>
        <v>LCA-N2O</v>
      </c>
      <c r="D64" s="40">
        <f>SUMPRODUCT(D48:D56,'LC factor'!N4:N12)*(1-C47/100)</f>
        <v>7.0103963843527725E-5</v>
      </c>
      <c r="I64" t="str">
        <f>O64</f>
        <v>LCA-N2O</v>
      </c>
      <c r="J64" s="40">
        <f>SUMPRODUCT(J48:J56,'LC factor'!N4:N12)*(1-I47/100)</f>
        <v>7.4187689892665347E-5</v>
      </c>
      <c r="N64" s="35"/>
      <c r="O64" s="35" t="str">
        <f>C43</f>
        <v>LCA-N2O</v>
      </c>
      <c r="P64" s="40">
        <f>SUMPRODUCT(P48:P56,'LC factor'!N4:N12)*(1-O47/100)</f>
        <v>4.0837260491375421E-5</v>
      </c>
    </row>
    <row r="65" spans="1:16" ht="14.25" thickBot="1">
      <c r="C65" t="str">
        <f>I65</f>
        <v>LCA-GHG</v>
      </c>
      <c r="D65" s="407">
        <f>(D62+D63*25+D64*0.298)</f>
        <v>9.3306357235172435</v>
      </c>
      <c r="I65" t="str">
        <f>O65</f>
        <v>LCA-GHG</v>
      </c>
      <c r="J65" s="407">
        <f>(J62+J63*25+J64*0.298)</f>
        <v>9.8741679015862189</v>
      </c>
      <c r="N65" s="42"/>
      <c r="O65" s="35" t="str">
        <f>C44</f>
        <v>LCA-GHG</v>
      </c>
      <c r="P65" s="407">
        <f>(P62+P63*25+P64*0.298)</f>
        <v>5.4353217806896614</v>
      </c>
    </row>
    <row r="68" spans="1:16" ht="14.25" thickBot="1"/>
    <row r="69" spans="1:16">
      <c r="A69" s="408" t="s">
        <v>529</v>
      </c>
      <c r="B69" s="37"/>
      <c r="C69" s="37"/>
      <c r="D69" s="413" t="s">
        <v>531</v>
      </c>
      <c r="E69" s="413" t="s">
        <v>517</v>
      </c>
      <c r="F69" s="416" t="s">
        <v>532</v>
      </c>
    </row>
    <row r="70" spans="1:16">
      <c r="A70" s="39"/>
      <c r="B70" s="409" t="s">
        <v>530</v>
      </c>
      <c r="C70" s="35" t="str">
        <f t="shared" ref="C70:C78" si="11">O48</f>
        <v>原煤</v>
      </c>
      <c r="D70" s="35"/>
      <c r="E70" s="35"/>
      <c r="F70" s="40"/>
    </row>
    <row r="71" spans="1:16">
      <c r="A71" s="39"/>
      <c r="B71" s="35"/>
      <c r="C71" s="35" t="str">
        <f t="shared" si="11"/>
        <v>原始天然气</v>
      </c>
      <c r="D71" s="35"/>
      <c r="E71" s="35"/>
      <c r="F71" s="40"/>
    </row>
    <row r="72" spans="1:16">
      <c r="A72" s="39"/>
      <c r="B72" s="35"/>
      <c r="C72" s="35" t="str">
        <f t="shared" si="11"/>
        <v>原油</v>
      </c>
      <c r="D72" s="35"/>
      <c r="E72" s="35"/>
      <c r="F72" s="40"/>
    </row>
    <row r="73" spans="1:16">
      <c r="A73" s="39"/>
      <c r="B73" s="35"/>
      <c r="C73" s="35" t="str">
        <f t="shared" si="11"/>
        <v>精煤</v>
      </c>
      <c r="D73" s="35"/>
      <c r="E73" s="35"/>
      <c r="F73" s="40"/>
    </row>
    <row r="74" spans="1:16">
      <c r="A74" s="39"/>
      <c r="B74" s="35"/>
      <c r="C74" s="35" t="str">
        <f t="shared" si="11"/>
        <v>精制天然气</v>
      </c>
      <c r="D74" s="35"/>
      <c r="E74" s="35"/>
      <c r="F74" s="40"/>
    </row>
    <row r="75" spans="1:16">
      <c r="A75" s="39"/>
      <c r="B75" s="35"/>
      <c r="C75" s="35" t="str">
        <f t="shared" si="11"/>
        <v>柴油</v>
      </c>
      <c r="D75" s="35">
        <f>'T&amp;D'!C5</f>
        <v>1.98</v>
      </c>
      <c r="E75" s="35">
        <f>'T&amp;D'!B5</f>
        <v>1.96</v>
      </c>
      <c r="F75" s="40">
        <f>D75</f>
        <v>1.98</v>
      </c>
    </row>
    <row r="76" spans="1:16">
      <c r="A76" s="39"/>
      <c r="B76" s="35"/>
      <c r="C76" s="35" t="str">
        <f t="shared" si="11"/>
        <v>汽油</v>
      </c>
      <c r="D76" s="35">
        <f>'T&amp;D'!C6</f>
        <v>0.03</v>
      </c>
      <c r="E76" s="35">
        <f>'T&amp;D'!B6</f>
        <v>0.03</v>
      </c>
      <c r="F76" s="40">
        <f>D76</f>
        <v>0.03</v>
      </c>
    </row>
    <row r="77" spans="1:16">
      <c r="A77" s="39"/>
      <c r="B77" s="35"/>
      <c r="C77" s="35" t="str">
        <f t="shared" si="11"/>
        <v>燃料油</v>
      </c>
      <c r="D77" s="35">
        <f>'T&amp;D'!C7</f>
        <v>5.95</v>
      </c>
      <c r="E77" s="35">
        <f>'T&amp;D'!B7</f>
        <v>7.1400000000000006</v>
      </c>
      <c r="F77" s="40">
        <f>D77</f>
        <v>5.95</v>
      </c>
    </row>
    <row r="78" spans="1:16" ht="14.25" thickBot="1">
      <c r="A78" s="41"/>
      <c r="B78" s="42"/>
      <c r="C78" s="42" t="str">
        <f t="shared" si="11"/>
        <v>电力</v>
      </c>
      <c r="D78" s="42">
        <f>'T&amp;D'!C8</f>
        <v>0.96</v>
      </c>
      <c r="E78" s="42">
        <f>'T&amp;D'!B8</f>
        <v>0.74</v>
      </c>
      <c r="F78" s="43">
        <f>D78</f>
        <v>0.96</v>
      </c>
    </row>
    <row r="79" spans="1:16">
      <c r="B79" s="409" t="s">
        <v>523</v>
      </c>
      <c r="C79" s="35" t="str">
        <f>C36</f>
        <v>LCA-Coal</v>
      </c>
      <c r="D79" s="40">
        <f>SUMPRODUCT(D70:D78,'LC factor'!B4:B12)/1000</f>
        <v>2.7971572740058148E-3</v>
      </c>
      <c r="E79" s="40">
        <f>SUMPRODUCT(E70:E78,'LC factor'!B4:B12)/1000</f>
        <v>2.3342550930374635E-3</v>
      </c>
      <c r="F79" s="40">
        <f>SUMPRODUCT(F70:F78,'LC factor'!B4:B12)/1000</f>
        <v>2.7971572740058148E-3</v>
      </c>
    </row>
    <row r="80" spans="1:16">
      <c r="B80" s="35"/>
      <c r="C80" s="35" t="str">
        <f>C37</f>
        <v>LCA-NG</v>
      </c>
      <c r="D80" s="40">
        <f>SUMPRODUCT(D70:D78,'LC factor'!C4:C12)/1000</f>
        <v>5.4501075267156848E-4</v>
      </c>
      <c r="E80" s="40">
        <f>SUMPRODUCT(E70:E78,'LC factor'!C4:C12)/1000</f>
        <v>5.5596949037206708E-4</v>
      </c>
      <c r="F80" s="40">
        <f>SUMPRODUCT(F70:F78,'LC factor'!C4:C12)/1000</f>
        <v>5.4501075267156848E-4</v>
      </c>
    </row>
    <row r="81" spans="2:6">
      <c r="B81" s="35"/>
      <c r="C81" s="35" t="str">
        <f>C38</f>
        <v>LCA-Oil</v>
      </c>
      <c r="D81" s="40">
        <f>SUMPRODUCT(D70:D78,'LC factor'!D4:D12)/1000</f>
        <v>8.9344246406559066E-3</v>
      </c>
      <c r="E81" s="40">
        <f>SUMPRODUCT(E70:E78,'LC factor'!D4:D12)/1000</f>
        <v>1.0209102158916267E-2</v>
      </c>
      <c r="F81" s="40">
        <f>SUMPRODUCT(F70:F78,'LC factor'!D4:D12)/1000</f>
        <v>8.9344246406559066E-3</v>
      </c>
    </row>
    <row r="82" spans="2:6">
      <c r="B82" s="35"/>
      <c r="C82" s="35" t="str">
        <f>C39</f>
        <v>LCA-PE</v>
      </c>
      <c r="D82" s="411">
        <f>D79+D80+D81</f>
        <v>1.227659266733329E-2</v>
      </c>
      <c r="E82" s="411">
        <f>E79+E80+E81</f>
        <v>1.3099326742325798E-2</v>
      </c>
      <c r="F82" s="411">
        <f>F79+F80+F81</f>
        <v>1.227659266733329E-2</v>
      </c>
    </row>
    <row r="83" spans="2:6">
      <c r="B83" s="35"/>
      <c r="C83" s="35"/>
      <c r="D83" s="40"/>
      <c r="E83" s="40"/>
      <c r="F83" s="40"/>
    </row>
    <row r="84" spans="2:6">
      <c r="B84" s="35"/>
      <c r="C84" s="35" t="str">
        <f>C41</f>
        <v>LCA-CO2</v>
      </c>
      <c r="D84" s="40">
        <f>SUMPRODUCT(D70:D78,'LC factor'!L4:L12)/1000</f>
        <v>0.92646801250540411</v>
      </c>
      <c r="E84" s="40">
        <f>SUMPRODUCT(E70:E78,'LC factor'!L4:L12)/1000</f>
        <v>0.98557816709093615</v>
      </c>
      <c r="F84" s="40">
        <f>SUMPRODUCT(F70:F78,'LC factor'!L4:L12)/1000</f>
        <v>0.92646801250540411</v>
      </c>
    </row>
    <row r="85" spans="2:6">
      <c r="B85" s="35"/>
      <c r="C85" s="35" t="str">
        <f>C42</f>
        <v>LCA-CH4</v>
      </c>
      <c r="D85" s="40">
        <f>SUMPRODUCT(D70:D78,'LC factor'!M4:M12)/1000</f>
        <v>1.2840088857874684E-3</v>
      </c>
      <c r="E85" s="40">
        <f>SUMPRODUCT(E70:E78,'LC factor'!M4:M12)/1000</f>
        <v>1.1104729435819248E-3</v>
      </c>
      <c r="F85" s="40">
        <f>SUMPRODUCT(F70:F78,'LC factor'!M4:M12)/1000</f>
        <v>1.2840088857874684E-3</v>
      </c>
    </row>
    <row r="86" spans="2:6">
      <c r="B86" s="35"/>
      <c r="C86" s="35" t="str">
        <f>C43</f>
        <v>LCA-N2O</v>
      </c>
      <c r="D86" s="40">
        <f>SUMPRODUCT(D70:D78,'LC factor'!N4:N12)/1000</f>
        <v>6.1746642513664846E-5</v>
      </c>
      <c r="E86" s="40">
        <f>SUMPRODUCT(E70:E78,'LC factor'!N4:N12)/1000</f>
        <v>6.0883237366178863E-5</v>
      </c>
      <c r="F86" s="40">
        <f>SUMPRODUCT(F70:F78,'LC factor'!N4:N12)/1000</f>
        <v>6.1746642513664846E-5</v>
      </c>
    </row>
    <row r="87" spans="2:6" ht="14.25" thickBot="1">
      <c r="B87" s="42"/>
      <c r="C87" s="35" t="str">
        <f>C44</f>
        <v>LCA-GHG</v>
      </c>
      <c r="D87" s="407">
        <f>(D84+D85*25+D86*0.298)</f>
        <v>0.95858663514955988</v>
      </c>
      <c r="E87" s="407">
        <f t="shared" ref="E87:F87" si="12">(E84+E85*25+E86*0.298)</f>
        <v>1.0133581338852193</v>
      </c>
      <c r="F87" s="407">
        <f t="shared" si="12"/>
        <v>0.95858663514955988</v>
      </c>
    </row>
  </sheetData>
  <phoneticPr fontId="38" type="noConversion"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V63"/>
  <sheetViews>
    <sheetView zoomScale="90" zoomScaleNormal="90" workbookViewId="0">
      <selection activeCell="T12" sqref="T12"/>
    </sheetView>
  </sheetViews>
  <sheetFormatPr defaultRowHeight="13.5"/>
  <cols>
    <col min="1" max="1" width="11.5" customWidth="1"/>
    <col min="2" max="2" width="12.5" customWidth="1"/>
    <col min="3" max="3" width="20.375" bestFit="1" customWidth="1"/>
    <col min="4" max="4" width="14" customWidth="1"/>
    <col min="11" max="11" width="10.5" bestFit="1" customWidth="1"/>
    <col min="12" max="13" width="11.125" bestFit="1" customWidth="1"/>
  </cols>
  <sheetData>
    <row r="1" spans="1:22">
      <c r="B1" s="535" t="s">
        <v>693</v>
      </c>
      <c r="C1">
        <f>'LC for SE'!Q11</f>
        <v>36.4</v>
      </c>
      <c r="D1">
        <f>'LC for SE'!Q12</f>
        <v>45.9</v>
      </c>
      <c r="E1">
        <f>'LC for SE'!Q13</f>
        <v>32</v>
      </c>
      <c r="P1" s="435" t="s">
        <v>576</v>
      </c>
      <c r="Q1" s="33"/>
      <c r="R1" s="33"/>
      <c r="S1" s="33"/>
      <c r="T1" s="33"/>
      <c r="U1" s="33"/>
      <c r="V1" s="33"/>
    </row>
    <row r="2" spans="1:22" ht="14.25" thickBot="1">
      <c r="B2" s="405" t="s">
        <v>560</v>
      </c>
      <c r="C2">
        <f>'LC for SE'!S11</f>
        <v>93.5</v>
      </c>
      <c r="D2">
        <f>'LC for SE'!S12</f>
        <v>93.5</v>
      </c>
      <c r="E2">
        <f>'LC for SE'!S13</f>
        <v>93.5</v>
      </c>
      <c r="P2" s="33"/>
      <c r="Q2" s="435" t="s">
        <v>574</v>
      </c>
      <c r="R2" s="435"/>
      <c r="S2" s="435" t="s">
        <v>573</v>
      </c>
      <c r="T2" s="435"/>
      <c r="U2" s="435" t="s">
        <v>575</v>
      </c>
      <c r="V2" s="33"/>
    </row>
    <row r="3" spans="1:22" ht="16.5" thickTop="1" thickBot="1">
      <c r="A3" s="156"/>
      <c r="B3" s="725"/>
      <c r="C3" s="727" t="s">
        <v>307</v>
      </c>
      <c r="D3" s="727"/>
      <c r="E3" s="727"/>
      <c r="F3" s="727"/>
      <c r="G3" s="727"/>
      <c r="H3" s="727"/>
      <c r="I3" s="727"/>
      <c r="K3" s="405" t="s">
        <v>578</v>
      </c>
      <c r="L3" s="138" t="s">
        <v>321</v>
      </c>
      <c r="M3" s="405" t="s">
        <v>567</v>
      </c>
      <c r="P3" s="435" t="s">
        <v>572</v>
      </c>
      <c r="Q3" s="33">
        <f>SUM(Q4:Q7)</f>
        <v>1.0608</v>
      </c>
      <c r="R3" s="33"/>
      <c r="S3" s="33">
        <f>SUM(S4:S7)</f>
        <v>1.081</v>
      </c>
      <c r="T3" s="33"/>
      <c r="U3" s="33">
        <f>SUM(U4:U7)</f>
        <v>1.0580699999999998</v>
      </c>
      <c r="V3" s="33"/>
    </row>
    <row r="4" spans="1:22" ht="15.75" thickBot="1">
      <c r="A4" s="157"/>
      <c r="B4" s="726"/>
      <c r="C4" s="158" t="s">
        <v>308</v>
      </c>
      <c r="D4" s="159" t="s">
        <v>310</v>
      </c>
      <c r="E4" s="159" t="s">
        <v>309</v>
      </c>
      <c r="F4" s="159" t="s">
        <v>311</v>
      </c>
      <c r="G4" s="159" t="s">
        <v>312</v>
      </c>
      <c r="H4" s="159" t="s">
        <v>313</v>
      </c>
      <c r="I4" s="159" t="s">
        <v>314</v>
      </c>
      <c r="P4" s="435" t="s">
        <v>568</v>
      </c>
      <c r="Q4" s="435">
        <v>1.04</v>
      </c>
      <c r="R4" s="436">
        <f>Q4/Q3</f>
        <v>0.98039215686274517</v>
      </c>
      <c r="S4" s="532">
        <v>1.016</v>
      </c>
      <c r="T4" s="533">
        <f>S4/S3</f>
        <v>0.93987049028677161</v>
      </c>
      <c r="U4" s="33">
        <v>0.71319999999999995</v>
      </c>
      <c r="V4" s="436">
        <f>U4/U3</f>
        <v>0.67405748201914817</v>
      </c>
    </row>
    <row r="5" spans="1:22" ht="15">
      <c r="A5" s="160" t="s">
        <v>315</v>
      </c>
      <c r="B5" s="161" t="s">
        <v>4</v>
      </c>
      <c r="C5" s="427">
        <f t="shared" ref="C5:H5" si="0">C6+C7+C8</f>
        <v>3.190496274518996</v>
      </c>
      <c r="D5" s="427">
        <f t="shared" si="0"/>
        <v>2.6276356413235331</v>
      </c>
      <c r="E5" s="427">
        <f t="shared" si="0"/>
        <v>4.0542953960915389</v>
      </c>
      <c r="F5" s="427">
        <f t="shared" si="0"/>
        <v>6.3E-2</v>
      </c>
      <c r="G5" s="427">
        <f t="shared" si="0"/>
        <v>7.5999999999999998E-2</v>
      </c>
      <c r="H5" s="427">
        <f t="shared" si="0"/>
        <v>0</v>
      </c>
      <c r="I5" s="427">
        <f>I6+I7+I8</f>
        <v>2.662555729682258</v>
      </c>
      <c r="K5" s="515">
        <f>0.94*C5+0.06*H5</f>
        <v>2.9990664980478559</v>
      </c>
      <c r="L5" s="165">
        <f>C5*0.98+H5*0.02</f>
        <v>3.1266863490286161</v>
      </c>
      <c r="M5" s="165">
        <f>C5*0.65+F5*0.05+H5*0.3</f>
        <v>2.0769725784373478</v>
      </c>
      <c r="P5" s="435" t="s">
        <v>569</v>
      </c>
      <c r="Q5" s="435">
        <v>6.4000000000000003E-3</v>
      </c>
      <c r="R5" s="436">
        <f>Q5/Q3</f>
        <v>6.0331825037707393E-3</v>
      </c>
      <c r="S5" s="532">
        <v>3.2000000000000001E-2</v>
      </c>
      <c r="T5" s="533">
        <f>S5/S3</f>
        <v>2.960222016651249E-2</v>
      </c>
      <c r="U5" s="33">
        <v>0.28749999999999998</v>
      </c>
      <c r="V5" s="436">
        <f>U5/U3</f>
        <v>0.27172115266475755</v>
      </c>
    </row>
    <row r="6" spans="1:22" ht="15">
      <c r="A6" s="160" t="s">
        <v>316</v>
      </c>
      <c r="B6" s="161" t="s">
        <v>4</v>
      </c>
      <c r="C6" s="161">
        <f>Coal!I5/C1/C2*10000</f>
        <v>3.1403189203537027</v>
      </c>
      <c r="D6" s="427">
        <f>('NG-based'!M13)/D1/D2*10000</f>
        <v>1.801506504297844E-2</v>
      </c>
      <c r="E6" s="161">
        <f>'Oil-based'!AA5/E1/E2*10000</f>
        <v>0.1999841681186818</v>
      </c>
      <c r="F6" s="513">
        <v>5.1999999999999998E-2</v>
      </c>
      <c r="G6" s="513">
        <v>0.01</v>
      </c>
      <c r="H6" s="513">
        <v>0</v>
      </c>
      <c r="I6" s="161">
        <f>'LC factor'!L15</f>
        <v>2.4073229729246317</v>
      </c>
      <c r="K6" s="515">
        <f t="shared" ref="K6:K12" si="1">0.94*C6+0.06*H6</f>
        <v>2.9518997851324804</v>
      </c>
      <c r="L6" s="165">
        <f t="shared" ref="L6:L12" si="2">C6*0.98+H6*0.02</f>
        <v>3.0775125419466285</v>
      </c>
      <c r="M6" s="165">
        <f t="shared" ref="M6:M12" si="3">C6*0.65+F6*0.05+H6*0.3</f>
        <v>2.0438072982299071</v>
      </c>
      <c r="P6" s="435" t="s">
        <v>570</v>
      </c>
      <c r="Q6" s="435"/>
      <c r="R6" s="435"/>
      <c r="S6" s="532"/>
      <c r="T6" s="532"/>
      <c r="U6" s="33">
        <v>5.5370000000000003E-2</v>
      </c>
      <c r="V6" s="33">
        <f>U6/U3</f>
        <v>5.2331131210600443E-2</v>
      </c>
    </row>
    <row r="7" spans="1:22" ht="15">
      <c r="A7" s="162" t="s">
        <v>317</v>
      </c>
      <c r="B7" s="161" t="s">
        <v>4</v>
      </c>
      <c r="C7" s="161">
        <f>Coal!I6/C1/C2*10000</f>
        <v>7.6647989602251863E-3</v>
      </c>
      <c r="D7" s="427">
        <f>'NG-based'!M14/D1/D2*10000</f>
        <v>2.5971860691664941</v>
      </c>
      <c r="E7" s="161">
        <f>'Oil-based'!AA6/E1/E2*10000</f>
        <v>0.15731142551168345</v>
      </c>
      <c r="F7" s="513">
        <v>5.0000000000000001E-3</v>
      </c>
      <c r="G7" s="513">
        <v>2E-3</v>
      </c>
      <c r="H7" s="513">
        <v>0</v>
      </c>
      <c r="I7" s="161">
        <f>'LC factor'!L16</f>
        <v>0.18717839215522458</v>
      </c>
      <c r="K7" s="515">
        <f t="shared" si="1"/>
        <v>7.2049110226116743E-3</v>
      </c>
      <c r="L7" s="165">
        <f>C7*0.98+H7*0.02</f>
        <v>7.511502981020682E-3</v>
      </c>
      <c r="M7" s="165">
        <f>C7*0.65+F7*0.05+H7*0.3</f>
        <v>5.2321193241463716E-3</v>
      </c>
      <c r="P7" s="435" t="s">
        <v>571</v>
      </c>
      <c r="Q7" s="435">
        <v>1.44E-2</v>
      </c>
      <c r="R7" s="435"/>
      <c r="S7" s="532">
        <v>3.3000000000000002E-2</v>
      </c>
      <c r="T7" s="532"/>
      <c r="U7" s="33">
        <v>2E-3</v>
      </c>
      <c r="V7" s="33"/>
    </row>
    <row r="8" spans="1:22" ht="15">
      <c r="A8" s="162" t="s">
        <v>318</v>
      </c>
      <c r="B8" s="161" t="s">
        <v>4</v>
      </c>
      <c r="C8" s="161">
        <f>Coal!I7/C1/C2*10000</f>
        <v>4.2512555205067866E-2</v>
      </c>
      <c r="D8" s="427">
        <f>'NG-based'!M15/D1/D2*10000</f>
        <v>1.2434507114060757E-2</v>
      </c>
      <c r="E8" s="161">
        <f>'Oil-based'!AA7/E1/E2*10000</f>
        <v>3.6969998024611734</v>
      </c>
      <c r="F8" s="513">
        <v>6.0000000000000001E-3</v>
      </c>
      <c r="G8" s="513">
        <v>6.4000000000000001E-2</v>
      </c>
      <c r="H8" s="513">
        <v>0</v>
      </c>
      <c r="I8" s="161">
        <f>'LC factor'!L17</f>
        <v>6.8054364602401593E-2</v>
      </c>
      <c r="K8" s="515">
        <f t="shared" si="1"/>
        <v>3.9961801892763792E-2</v>
      </c>
      <c r="L8" s="165">
        <f t="shared" si="2"/>
        <v>4.166230410096651E-2</v>
      </c>
      <c r="M8" s="165">
        <f t="shared" si="3"/>
        <v>2.7933160883294117E-2</v>
      </c>
    </row>
    <row r="9" spans="1:22" ht="17.25" thickBot="1">
      <c r="A9" s="163" t="s">
        <v>261</v>
      </c>
      <c r="B9" s="164" t="s">
        <v>319</v>
      </c>
      <c r="C9" s="164">
        <f>Coal!I13/C1/C2*10000</f>
        <v>291.88514636063582</v>
      </c>
      <c r="D9" s="428">
        <f>'NG-based'!M21/D1/D2*10000</f>
        <v>155.54154370320205</v>
      </c>
      <c r="E9" s="164">
        <f>'Oil-based'!AA13/E1/E2*10000</f>
        <v>305.69406076428317</v>
      </c>
      <c r="F9" s="514">
        <v>6.5</v>
      </c>
      <c r="G9" s="514">
        <v>5.8</v>
      </c>
      <c r="H9" s="514">
        <v>5</v>
      </c>
      <c r="I9" s="164">
        <f>'LC factor'!L21</f>
        <v>237.06320573794014</v>
      </c>
      <c r="K9" s="515">
        <f t="shared" si="1"/>
        <v>274.67203757899767</v>
      </c>
      <c r="L9" s="166">
        <f>C9*0.98+H9*0.02</f>
        <v>286.14744343342312</v>
      </c>
      <c r="M9" s="166">
        <f>C9*0.65+F9*0.05+H9*0.3</f>
        <v>191.55034513441328</v>
      </c>
    </row>
    <row r="10" spans="1:22" ht="16.5" thickTop="1" thickBot="1">
      <c r="A10" s="474" t="s">
        <v>671</v>
      </c>
      <c r="B10" s="271"/>
      <c r="C10" s="271">
        <f>Coal!I10/C1/C2*10000</f>
        <v>259.89865485960553</v>
      </c>
      <c r="D10" s="475">
        <f>'NG-based'!M18/D1/D2*10000</f>
        <v>150.67244954240007</v>
      </c>
      <c r="E10" s="271">
        <f>'Oil-based'!AA10/E1/E2*10000</f>
        <v>302.37633071656802</v>
      </c>
      <c r="F10" s="271">
        <f>F9</f>
        <v>6.5</v>
      </c>
      <c r="G10" s="271">
        <f>G9</f>
        <v>5.8</v>
      </c>
      <c r="H10" s="271">
        <v>5</v>
      </c>
      <c r="I10" s="271">
        <f>'LC factor'!L19</f>
        <v>0.99442789444789459</v>
      </c>
      <c r="K10" s="515">
        <f t="shared" si="1"/>
        <v>244.60473556802918</v>
      </c>
      <c r="L10" s="476">
        <f>C10*0.98+H10*0.02</f>
        <v>254.8006817624134</v>
      </c>
      <c r="M10" s="166">
        <f t="shared" si="3"/>
        <v>170.75912565874359</v>
      </c>
    </row>
    <row r="11" spans="1:22" ht="16.5" thickTop="1" thickBot="1">
      <c r="A11" s="474" t="s">
        <v>672</v>
      </c>
      <c r="B11" s="271"/>
      <c r="C11" s="271">
        <f>Coal!I11/C1/C2*10000</f>
        <v>1.2794115889273714</v>
      </c>
      <c r="D11" s="475">
        <f>'NG-based'!M19/D1/D2*10000</f>
        <v>0.19476376206790005</v>
      </c>
      <c r="E11" s="271">
        <f>'Oil-based'!AA11/E1/E2*10000</f>
        <v>0.13269271006783298</v>
      </c>
      <c r="F11" s="271">
        <v>0</v>
      </c>
      <c r="G11" s="271">
        <v>0</v>
      </c>
      <c r="H11" s="271">
        <v>0</v>
      </c>
      <c r="I11" s="271">
        <f>'LC factor'!L19</f>
        <v>0.99442789444789459</v>
      </c>
      <c r="K11" s="515">
        <f t="shared" si="1"/>
        <v>1.2026468935917289</v>
      </c>
      <c r="L11" s="476">
        <f t="shared" si="2"/>
        <v>1.253823357148824</v>
      </c>
      <c r="M11" s="166">
        <f t="shared" si="3"/>
        <v>0.83161753280279138</v>
      </c>
    </row>
    <row r="12" spans="1:22" ht="16.5" thickTop="1" thickBot="1">
      <c r="A12" s="474" t="s">
        <v>673</v>
      </c>
      <c r="B12" s="271"/>
      <c r="C12" s="271">
        <f>Coal!I12/C1/C2*10000</f>
        <v>4.0328115638645929E-3</v>
      </c>
      <c r="D12" s="475">
        <f>'NG-based'!M20/D1/D2*10000</f>
        <v>3.6612232291609716E-7</v>
      </c>
      <c r="E12" s="271">
        <f>'Oil-based'!AA12/E1/E2*10000</f>
        <v>1.383543689240821E-3</v>
      </c>
      <c r="F12" s="271">
        <v>0</v>
      </c>
      <c r="G12" s="271">
        <v>0</v>
      </c>
      <c r="H12" s="271">
        <v>0</v>
      </c>
      <c r="I12" s="271">
        <f>'LC factor'!L20</f>
        <v>3.3408694757104565E-3</v>
      </c>
      <c r="K12" s="515">
        <f t="shared" si="1"/>
        <v>3.7908428700327173E-3</v>
      </c>
      <c r="L12" s="476">
        <f t="shared" si="2"/>
        <v>3.9521553325873012E-3</v>
      </c>
      <c r="M12" s="166">
        <f t="shared" si="3"/>
        <v>2.6213275165119856E-3</v>
      </c>
      <c r="Q12">
        <v>80.099999999999994</v>
      </c>
      <c r="R12" s="699">
        <f>Q12/$Q$15</f>
        <v>0.96973365617433416</v>
      </c>
    </row>
    <row r="13" spans="1:22" ht="15.75" thickTop="1">
      <c r="A13" s="431" t="s">
        <v>583</v>
      </c>
      <c r="B13" s="437" t="s">
        <v>586</v>
      </c>
      <c r="C13" s="429">
        <f>Coal!F14</f>
        <v>0.16667071102498376</v>
      </c>
      <c r="D13" s="429">
        <f>'NG-based'!J22</f>
        <v>0.12909198801868524</v>
      </c>
      <c r="E13" s="429">
        <f>'Oil-based'!V16</f>
        <v>0.16001702244620586</v>
      </c>
      <c r="I13" s="429">
        <f>(C13*80.1%+D13*0.7%+E13*1.8%)/82.6%</f>
        <v>0.16620725163580444</v>
      </c>
      <c r="K13" s="165">
        <f>K9*3.6</f>
        <v>988.81933528439163</v>
      </c>
      <c r="L13" s="165">
        <f>L9*3.6</f>
        <v>1030.1307963603233</v>
      </c>
      <c r="M13" s="165">
        <f>M9*3.6</f>
        <v>689.58124248388776</v>
      </c>
      <c r="Q13">
        <v>0.7</v>
      </c>
      <c r="R13" s="699">
        <f t="shared" ref="R13:R14" si="4">Q13/$Q$15</f>
        <v>8.4745762711864406E-3</v>
      </c>
    </row>
    <row r="14" spans="1:22" ht="17.25" thickBot="1">
      <c r="B14" s="437" t="s">
        <v>587</v>
      </c>
      <c r="C14" s="429">
        <f>Coal!G14</f>
        <v>1.1232034939611791E-2</v>
      </c>
      <c r="D14" s="429">
        <f>'NG-based'!K22</f>
        <v>1.517101942698338E-2</v>
      </c>
      <c r="E14" s="429">
        <f>'Oil-based'!W16</f>
        <v>1.0480518753683759E-2</v>
      </c>
      <c r="I14" s="429">
        <f>(C14*80.1%+D14*0.7%+E14*1.8%)/82.6%</f>
        <v>1.1249039298043868E-2</v>
      </c>
      <c r="K14" s="164" t="s">
        <v>577</v>
      </c>
      <c r="L14" s="164" t="s">
        <v>577</v>
      </c>
      <c r="M14" s="164" t="s">
        <v>577</v>
      </c>
      <c r="Q14">
        <v>1.8</v>
      </c>
      <c r="R14" s="699">
        <f t="shared" si="4"/>
        <v>2.1791767554479421E-2</v>
      </c>
    </row>
    <row r="15" spans="1:22" ht="14.25" thickTop="1">
      <c r="B15" s="437" t="s">
        <v>588</v>
      </c>
      <c r="C15" s="429">
        <f>Coal!H14</f>
        <v>0.82209725403540446</v>
      </c>
      <c r="D15" s="429">
        <f>'NG-based'!L22</f>
        <v>0.85573699255433144</v>
      </c>
      <c r="E15" s="429">
        <f>'Oil-based'!X16</f>
        <v>0.82950245880011042</v>
      </c>
      <c r="I15" s="429">
        <f>(C15*80.1%+D15*0.7%+E15*1.8%)/82.6%</f>
        <v>0.82254370906615171</v>
      </c>
      <c r="Q15">
        <f>SUM(Q12:Q14)</f>
        <v>82.6</v>
      </c>
    </row>
    <row r="16" spans="1:22">
      <c r="B16" s="405" t="s">
        <v>589</v>
      </c>
      <c r="C16" s="445">
        <f>C9*C13</f>
        <v>48.648704881558622</v>
      </c>
      <c r="D16" s="445">
        <f>D9*D13</f>
        <v>20.079167096141564</v>
      </c>
      <c r="E16" s="445">
        <f>E9*E13</f>
        <v>48.916253382990114</v>
      </c>
      <c r="F16" s="445"/>
      <c r="G16" s="445"/>
      <c r="H16" s="445"/>
      <c r="I16" s="445">
        <f>I9*I13</f>
        <v>39.401623889676294</v>
      </c>
    </row>
    <row r="17" spans="1:17">
      <c r="B17" s="405" t="s">
        <v>590</v>
      </c>
      <c r="C17" s="445">
        <f>C9*C14</f>
        <v>3.2784641622763631</v>
      </c>
      <c r="D17" s="445">
        <f>D9*D14</f>
        <v>2.3597237812242629</v>
      </c>
      <c r="E17" s="445">
        <f>E9*E14</f>
        <v>3.2038323367298123</v>
      </c>
      <c r="F17" s="445"/>
      <c r="G17" s="445"/>
      <c r="H17" s="445"/>
      <c r="I17" s="445">
        <f>I9*I14</f>
        <v>2.6667333174663472</v>
      </c>
    </row>
    <row r="18" spans="1:17">
      <c r="B18" s="405" t="s">
        <v>591</v>
      </c>
      <c r="C18" s="445">
        <f>C9*C15</f>
        <v>239.95797731680082</v>
      </c>
      <c r="D18" s="445">
        <f>D9*D15</f>
        <v>133.10265282583623</v>
      </c>
      <c r="E18" s="445">
        <f>E9*E15</f>
        <v>253.57397504456324</v>
      </c>
      <c r="F18" s="445"/>
      <c r="G18" s="445"/>
      <c r="H18" s="445"/>
      <c r="I18" s="445">
        <f>I9*I15</f>
        <v>194.9948485307975</v>
      </c>
    </row>
    <row r="21" spans="1:17">
      <c r="A21" s="535" t="s">
        <v>1054</v>
      </c>
      <c r="C21" t="str">
        <f>C4</f>
        <v>煤电</v>
      </c>
      <c r="D21" t="str">
        <f t="shared" ref="D21:I21" si="5">D4</f>
        <v>气电</v>
      </c>
      <c r="E21" t="str">
        <f t="shared" si="5"/>
        <v>油电</v>
      </c>
      <c r="I21" t="str">
        <f t="shared" si="5"/>
        <v>网电</v>
      </c>
      <c r="M21" t="str">
        <f>A5</f>
        <v>能源强度</v>
      </c>
      <c r="N21" t="str">
        <f>A6</f>
        <v>其中：煤炭</v>
      </c>
      <c r="O21" t="str">
        <f>A7</f>
        <v xml:space="preserve">     天然气</v>
      </c>
      <c r="P21" t="str">
        <f>A8</f>
        <v xml:space="preserve">     石油</v>
      </c>
      <c r="Q21" t="str">
        <f>A9</f>
        <v>碳强度</v>
      </c>
    </row>
    <row r="22" spans="1:17" ht="14.25" thickBot="1">
      <c r="A22" s="107" t="str">
        <f>A6</f>
        <v>其中：煤炭</v>
      </c>
      <c r="B22" s="108"/>
      <c r="C22" s="698">
        <f>'fuel summary'!E192/$C$1/$C$2*10000</f>
        <v>0.19524988164758283</v>
      </c>
      <c r="D22" s="698">
        <f>'fuel summary'!E10/$D$1/$D$2*10000/1000</f>
        <v>1.0338037129721754E-2</v>
      </c>
      <c r="E22" s="698">
        <f>'fuel summary'!E116/$E$1/$E$2*10000</f>
        <v>0.11473302941201838</v>
      </c>
      <c r="F22" s="108"/>
      <c r="G22" s="108"/>
      <c r="H22" s="108"/>
      <c r="I22" s="483">
        <f>(C22*80.1%+D22*0.7%+E22*1.8%)</f>
        <v>0.15853271598903823</v>
      </c>
      <c r="N22" t="str">
        <f>B5</f>
        <v>MJ/MJ</v>
      </c>
      <c r="O22" t="str">
        <f>B6</f>
        <v>MJ/MJ</v>
      </c>
      <c r="P22" t="str">
        <f>B8</f>
        <v>MJ/MJ</v>
      </c>
      <c r="Q22" t="str">
        <f>B9</f>
        <v>gCO2,e /MJ</v>
      </c>
    </row>
    <row r="23" spans="1:17">
      <c r="A23" s="93" t="str">
        <f t="shared" ref="A23:A24" si="6">A7</f>
        <v xml:space="preserve">     天然气</v>
      </c>
      <c r="B23" s="35"/>
      <c r="C23" s="483">
        <f>'fuel summary'!E193/$C$1/$C$2*10000</f>
        <v>5.8067463752929389E-3</v>
      </c>
      <c r="D23" s="483">
        <f>'fuel summary'!E11/$D$1/$D$2*10000/1000</f>
        <v>0.2406142026910297</v>
      </c>
      <c r="E23" s="483">
        <f>'fuel summary'!E117/$E$1/$E$2*10000</f>
        <v>0.13664718367550244</v>
      </c>
      <c r="F23" s="35"/>
      <c r="G23" s="35"/>
      <c r="H23" s="35"/>
      <c r="I23" s="483">
        <f t="shared" ref="I23:I25" si="7">(C23*80.1%+D23*0.7%+E23*1.8%)</f>
        <v>8.7951525716058951E-3</v>
      </c>
      <c r="K23" s="408" t="s">
        <v>579</v>
      </c>
      <c r="L23" s="37"/>
      <c r="M23" s="432">
        <f>K5</f>
        <v>2.9990664980478559</v>
      </c>
      <c r="N23" s="432">
        <f>K6</f>
        <v>2.9518997851324804</v>
      </c>
      <c r="O23" s="432">
        <f>K7</f>
        <v>7.2049110226116743E-3</v>
      </c>
      <c r="P23" s="432">
        <f>K8</f>
        <v>3.9961801892763792E-2</v>
      </c>
      <c r="Q23" s="446">
        <f>K9</f>
        <v>274.67203757899767</v>
      </c>
    </row>
    <row r="24" spans="1:17">
      <c r="A24" s="93" t="str">
        <f t="shared" si="6"/>
        <v xml:space="preserve">     石油</v>
      </c>
      <c r="B24" s="35"/>
      <c r="C24" s="483">
        <f>'fuel summary'!E194/$C$1/$C$2*10000</f>
        <v>7.6238900625170431E-3</v>
      </c>
      <c r="D24" s="483">
        <f>'fuel summary'!E12/$D$1/$D$2*10000/1000</f>
        <v>1.1056336996741778E-2</v>
      </c>
      <c r="E24" s="483">
        <f>'fuel summary'!E118/$E$1/$E$2*10000</f>
        <v>0.12296045305920826</v>
      </c>
      <c r="F24" s="35"/>
      <c r="G24" s="35"/>
      <c r="H24" s="35"/>
      <c r="I24" s="483">
        <f t="shared" si="7"/>
        <v>8.3974184541190915E-3</v>
      </c>
      <c r="K24" s="39" t="s">
        <v>320</v>
      </c>
      <c r="L24" s="35"/>
      <c r="M24" s="433">
        <f>L5</f>
        <v>3.1266863490286161</v>
      </c>
      <c r="N24" s="433">
        <f>L6</f>
        <v>3.0775125419466285</v>
      </c>
      <c r="O24" s="433">
        <f>L7</f>
        <v>7.511502981020682E-3</v>
      </c>
      <c r="P24" s="433">
        <f>L8</f>
        <v>4.166230410096651E-2</v>
      </c>
      <c r="Q24" s="447">
        <f>L9</f>
        <v>286.14744343342312</v>
      </c>
    </row>
    <row r="25" spans="1:17" ht="14.25" thickBot="1">
      <c r="A25" s="93" t="str">
        <f>A5</f>
        <v>能源强度</v>
      </c>
      <c r="B25" s="35"/>
      <c r="C25" s="483">
        <f>'fuel summary'!E195/$C$1/$C$2*10000</f>
        <v>0.20868051808539281</v>
      </c>
      <c r="D25" s="483">
        <f>'fuel summary'!E13/$D$1/$D$2*10000/1000</f>
        <v>0.26200857681749323</v>
      </c>
      <c r="E25" s="483">
        <f>'fuel summary'!E119/$E$1/$E$2*10000</f>
        <v>0.37434066614672912</v>
      </c>
      <c r="F25" s="35"/>
      <c r="G25" s="35"/>
      <c r="H25" s="35"/>
      <c r="I25" s="483">
        <f t="shared" si="7"/>
        <v>0.17572528701476323</v>
      </c>
      <c r="K25" s="41" t="s">
        <v>322</v>
      </c>
      <c r="L25" s="42"/>
      <c r="M25" s="434">
        <f>M5</f>
        <v>2.0769725784373478</v>
      </c>
      <c r="N25" s="434">
        <f>M6</f>
        <v>2.0438072982299071</v>
      </c>
      <c r="O25" s="434">
        <f>M7</f>
        <v>5.2321193241463716E-3</v>
      </c>
      <c r="P25" s="434">
        <f>M8</f>
        <v>2.7933160883294117E-2</v>
      </c>
      <c r="Q25" s="448">
        <f>M9</f>
        <v>191.55034513441328</v>
      </c>
    </row>
    <row r="26" spans="1:17" ht="15">
      <c r="A26" s="93"/>
      <c r="B26" s="35"/>
      <c r="C26" s="483"/>
      <c r="D26" s="483"/>
      <c r="E26" s="271"/>
      <c r="F26" s="35"/>
      <c r="G26" s="35"/>
      <c r="H26" s="35"/>
      <c r="I26" s="84"/>
      <c r="K26" s="35"/>
      <c r="L26" s="35"/>
      <c r="M26" s="433"/>
      <c r="N26" s="433"/>
      <c r="O26" s="433"/>
      <c r="P26" s="433"/>
      <c r="Q26" s="486"/>
    </row>
    <row r="27" spans="1:17">
      <c r="A27" s="93" t="str">
        <f>A10</f>
        <v>其中：CO2</v>
      </c>
      <c r="B27" s="35"/>
      <c r="C27" s="483">
        <f>'fuel summary'!E197/$C$1/$C$2*10000</f>
        <v>16.825671248613531</v>
      </c>
      <c r="D27" s="483">
        <f>'fuel summary'!E15/$D$1/$D$2*10000/1000</f>
        <v>15.336954042712039</v>
      </c>
      <c r="E27" s="483">
        <f>'fuel summary'!E121/$E$1/$E$2*10000</f>
        <v>24.022163725549166</v>
      </c>
      <c r="F27" s="35"/>
      <c r="G27" s="35"/>
      <c r="H27" s="35"/>
      <c r="I27" s="483">
        <f>(C27*80.1%+D27*0.7%+E27*1.8%)</f>
        <v>14.017120295498307</v>
      </c>
      <c r="K27" s="364" t="s">
        <v>585</v>
      </c>
      <c r="Q27" s="445">
        <f>I9</f>
        <v>237.06320573794014</v>
      </c>
    </row>
    <row r="28" spans="1:17">
      <c r="A28" s="93" t="str">
        <f>A11</f>
        <v>CH4</v>
      </c>
      <c r="B28" s="35"/>
      <c r="C28" s="483">
        <f>'fuel summary'!E198/$C$1/$C$2*10000</f>
        <v>1.2729170009325725</v>
      </c>
      <c r="D28" s="483">
        <f>'fuel summary'!E16/$D$1/$D$2*10000/1000</f>
        <v>0.18968851829591696</v>
      </c>
      <c r="E28" s="483">
        <f>'fuel summary'!E122/$E$1/$E$2*10000</f>
        <v>8.7229968785994705E-2</v>
      </c>
      <c r="F28" s="35"/>
      <c r="G28" s="35"/>
      <c r="H28" s="35"/>
      <c r="I28" s="483">
        <f t="shared" ref="I28:I30" si="8">(C28*80.1%+D28*0.7%+E28*1.8%)</f>
        <v>1.0225044768132101</v>
      </c>
    </row>
    <row r="29" spans="1:17">
      <c r="A29" s="93" t="str">
        <f>A12</f>
        <v>N2O</v>
      </c>
      <c r="B29" s="35"/>
      <c r="C29" s="483">
        <f>'fuel summary'!E199/$C$1/$C$2*10000</f>
        <v>3.6446184829526856E-4</v>
      </c>
      <c r="D29" s="483">
        <f>'fuel summary'!E17/$D$1/$D$2*10000/1000</f>
        <v>3.2225369907591479E-7</v>
      </c>
      <c r="E29" s="483">
        <f>'fuel summary'!E123/$E$1/$E$2*10000</f>
        <v>9.7120948394075802E-4</v>
      </c>
      <c r="F29" s="35"/>
      <c r="G29" s="35"/>
      <c r="H29" s="35"/>
      <c r="I29" s="483">
        <f t="shared" si="8"/>
        <v>3.0941796697133729E-4</v>
      </c>
    </row>
    <row r="30" spans="1:17">
      <c r="A30" s="101" t="str">
        <f>A9</f>
        <v>碳强度</v>
      </c>
      <c r="B30" s="102"/>
      <c r="C30" s="485">
        <f>'fuel summary'!E200/$C$1/$C$2*10000</f>
        <v>48.648704881558629</v>
      </c>
      <c r="D30" s="485">
        <f>'fuel summary'!E18/$D$1/$D$2*10000</f>
        <v>20.079167096141564</v>
      </c>
      <c r="E30" s="485">
        <f>'fuel summary'!E124/$E$1/$E$2*10000</f>
        <v>26.203202365625248</v>
      </c>
      <c r="F30" s="102"/>
      <c r="G30" s="102"/>
      <c r="H30" s="102"/>
      <c r="I30" s="483">
        <f t="shared" si="8"/>
        <v>39.5798244223827</v>
      </c>
    </row>
    <row r="31" spans="1:17">
      <c r="A31" s="35"/>
      <c r="B31" s="35"/>
      <c r="C31" s="35"/>
      <c r="D31" s="35"/>
      <c r="E31" s="35"/>
      <c r="F31" s="35"/>
      <c r="G31" s="35"/>
      <c r="H31" s="35"/>
      <c r="I31" s="35"/>
    </row>
    <row r="32" spans="1:17">
      <c r="A32" s="535" t="s">
        <v>1055</v>
      </c>
      <c r="C32" t="str">
        <f>C21</f>
        <v>煤电</v>
      </c>
      <c r="D32" t="str">
        <f t="shared" ref="D32:I32" si="9">D21</f>
        <v>气电</v>
      </c>
      <c r="E32" t="str">
        <f t="shared" si="9"/>
        <v>油电</v>
      </c>
      <c r="I32" t="str">
        <f t="shared" si="9"/>
        <v>网电</v>
      </c>
    </row>
    <row r="33" spans="1:18">
      <c r="A33" s="107" t="str">
        <f>A22</f>
        <v>其中：煤炭</v>
      </c>
      <c r="B33" s="108"/>
      <c r="C33" s="698">
        <f>'fuel summary'!F192/$C$1/$C$2*10000</f>
        <v>6.8308063502399196E-3</v>
      </c>
      <c r="D33" s="698">
        <f>'fuel summary'!F10/$D$1/$D$2*10000/1000</f>
        <v>7.6770279132566902E-3</v>
      </c>
      <c r="E33" s="698">
        <f>'fuel summary'!F116/$E$1/$E$2*10000</f>
        <v>2.3173613739614476E-2</v>
      </c>
      <c r="F33" s="108"/>
      <c r="G33" s="108"/>
      <c r="H33" s="108"/>
      <c r="I33" s="483">
        <f>(C33*80.1%+D33*0.7%+E33*1.8%)</f>
        <v>5.9423401292480324E-3</v>
      </c>
    </row>
    <row r="34" spans="1:18">
      <c r="A34" s="93" t="str">
        <f>A23</f>
        <v xml:space="preserve">     天然气</v>
      </c>
      <c r="B34" s="35"/>
      <c r="C34" s="483">
        <f>'fuel summary'!F193/$C$1/$C$2*10000</f>
        <v>1.858052584932248E-3</v>
      </c>
      <c r="D34" s="483">
        <f>'fuel summary'!F11/$D$1/$D$2*10000/1000</f>
        <v>2.6465730140953984E-2</v>
      </c>
      <c r="E34" s="483">
        <f>'fuel summary'!F117/$E$1/$E$2*10000</f>
        <v>2.8885533695288488E-3</v>
      </c>
      <c r="F34" s="35"/>
      <c r="G34" s="35"/>
      <c r="H34" s="35"/>
      <c r="I34" s="483">
        <f t="shared" ref="I34:I36" si="10">(C34*80.1%+D34*0.7%+E34*1.8%)</f>
        <v>1.7255541921689275E-3</v>
      </c>
    </row>
    <row r="35" spans="1:18">
      <c r="A35" s="93" t="str">
        <f>A24</f>
        <v xml:space="preserve">     石油</v>
      </c>
      <c r="B35" s="35"/>
      <c r="C35" s="483">
        <f>'fuel summary'!F194/$C$1/$C$2*10000</f>
        <v>3.4888665142550825E-2</v>
      </c>
      <c r="D35" s="483">
        <f>'fuel summary'!F12/$D$1/$D$2*10000/1000</f>
        <v>1.3781701173189787E-3</v>
      </c>
      <c r="E35" s="483">
        <f>'fuel summary'!F118/$E$1/$E$2*10000</f>
        <v>3.0369868088536194E-2</v>
      </c>
      <c r="F35" s="35"/>
      <c r="G35" s="35"/>
      <c r="H35" s="35"/>
      <c r="I35" s="483">
        <f t="shared" si="10"/>
        <v>2.8502125595598091E-2</v>
      </c>
    </row>
    <row r="36" spans="1:18">
      <c r="A36" s="93" t="str">
        <f>A25</f>
        <v>能源强度</v>
      </c>
      <c r="B36" s="35"/>
      <c r="C36" s="483">
        <f>'fuel summary'!F195/$C$1/$C$2*10000</f>
        <v>4.3577524077723001E-2</v>
      </c>
      <c r="D36" s="483">
        <f>'fuel summary'!F13/$D$1/$D$2*10000/1000</f>
        <v>3.5520928171529645E-2</v>
      </c>
      <c r="E36" s="483">
        <f>'fuel summary'!F119/$E$1/$E$2*10000</f>
        <v>5.6432035197679517E-2</v>
      </c>
      <c r="F36" s="35"/>
      <c r="G36" s="35"/>
      <c r="H36" s="35"/>
      <c r="I36" s="483">
        <f t="shared" si="10"/>
        <v>3.6170019917015059E-2</v>
      </c>
      <c r="K36" s="33"/>
      <c r="L36" s="33" t="s">
        <v>618</v>
      </c>
      <c r="M36" s="33" t="s">
        <v>616</v>
      </c>
      <c r="N36" s="33" t="s">
        <v>617</v>
      </c>
      <c r="O36" s="33" t="s">
        <v>619</v>
      </c>
      <c r="P36" s="33" t="s">
        <v>620</v>
      </c>
      <c r="Q36" s="33" t="s">
        <v>621</v>
      </c>
      <c r="R36" s="33" t="s">
        <v>622</v>
      </c>
    </row>
    <row r="37" spans="1:18">
      <c r="A37" s="93"/>
      <c r="B37" s="35"/>
      <c r="C37" s="483"/>
      <c r="D37" s="483"/>
      <c r="E37" s="483"/>
      <c r="F37" s="35"/>
      <c r="G37" s="35"/>
      <c r="H37" s="35"/>
      <c r="I37" s="84"/>
      <c r="K37" s="33"/>
      <c r="L37" s="33"/>
      <c r="M37" s="33"/>
      <c r="N37" s="33"/>
      <c r="O37" s="33"/>
      <c r="P37" s="33"/>
      <c r="Q37" s="33"/>
      <c r="R37" s="33"/>
    </row>
    <row r="38" spans="1:18">
      <c r="A38" s="93" t="str">
        <f t="shared" ref="A38:A41" si="11">A27</f>
        <v>其中：CO2</v>
      </c>
      <c r="B38" s="35"/>
      <c r="C38" s="483">
        <f>'fuel summary'!F197/$C$1/$C$2*10000</f>
        <v>3.1893378449932897</v>
      </c>
      <c r="D38" s="483">
        <f>'fuel summary'!F15/$D$1/$D$2*10000/1000</f>
        <v>2.2328426738518337</v>
      </c>
      <c r="E38" s="483">
        <f>'fuel summary'!F121/$E$1/$E$2*10000</f>
        <v>4.2997435285115753</v>
      </c>
      <c r="F38" s="35"/>
      <c r="G38" s="35"/>
      <c r="H38" s="35"/>
      <c r="I38" s="483">
        <f>(C38*80.1%+D38*0.7%+E38*1.8%)</f>
        <v>2.6476848960697961</v>
      </c>
      <c r="K38" s="435" t="s">
        <v>623</v>
      </c>
      <c r="L38" s="702">
        <f t="shared" ref="L38:N40" si="12">C16</f>
        <v>48.648704881558622</v>
      </c>
      <c r="M38" s="702">
        <f t="shared" si="12"/>
        <v>20.079167096141564</v>
      </c>
      <c r="N38" s="702">
        <f t="shared" si="12"/>
        <v>48.916253382990114</v>
      </c>
      <c r="O38" s="702">
        <f>6.056</f>
        <v>6.056</v>
      </c>
      <c r="P38" s="702">
        <f>G16</f>
        <v>0</v>
      </c>
      <c r="Q38" s="702">
        <f>H16</f>
        <v>0</v>
      </c>
      <c r="R38" s="702">
        <f>I16</f>
        <v>39.401623889676294</v>
      </c>
    </row>
    <row r="39" spans="1:18">
      <c r="A39" s="93" t="str">
        <f t="shared" si="11"/>
        <v>CH4</v>
      </c>
      <c r="B39" s="35"/>
      <c r="C39" s="483">
        <f>'fuel summary'!F198/$C$1/$C$2*10000</f>
        <v>3.5563497624430244E-3</v>
      </c>
      <c r="D39" s="483">
        <f>'fuel summary'!F16/$D$1/$D$2*10000/1000</f>
        <v>5.075243771983139E-3</v>
      </c>
      <c r="E39" s="483">
        <f>'fuel summary'!F122/$E$1/$E$2*10000</f>
        <v>9.8841745455697256E-3</v>
      </c>
      <c r="F39" s="35"/>
      <c r="G39" s="35"/>
      <c r="H39" s="35"/>
      <c r="I39" s="483">
        <f t="shared" ref="I39:I41" si="13">(C39*80.1%+D39*0.7%+E39*1.8%)</f>
        <v>3.0620780079409996E-3</v>
      </c>
      <c r="K39" s="435" t="s">
        <v>624</v>
      </c>
      <c r="L39" s="702">
        <f t="shared" si="12"/>
        <v>3.2784641622763631</v>
      </c>
      <c r="M39" s="702">
        <f t="shared" si="12"/>
        <v>2.3597237812242629</v>
      </c>
      <c r="N39" s="702">
        <f t="shared" si="12"/>
        <v>3.2038323367298123</v>
      </c>
      <c r="O39" s="702">
        <f>F17</f>
        <v>0</v>
      </c>
      <c r="P39" s="702">
        <f>5.846</f>
        <v>5.8460000000000001</v>
      </c>
      <c r="Q39" s="702">
        <f>H17</f>
        <v>0</v>
      </c>
      <c r="R39" s="702">
        <f>I17</f>
        <v>2.6667333174663472</v>
      </c>
    </row>
    <row r="40" spans="1:18">
      <c r="A40" s="93" t="str">
        <f>A29</f>
        <v>N2O</v>
      </c>
      <c r="B40" s="35"/>
      <c r="C40" s="483">
        <f>'fuel summary'!F199/$C$1/$C$2*10000</f>
        <v>7.3011148321344547E-4</v>
      </c>
      <c r="D40" s="483">
        <f>'fuel summary'!F17/$D$1/$D$2*10000/1000</f>
        <v>4.386862384018234E-8</v>
      </c>
      <c r="E40" s="483">
        <f>'fuel summary'!F123/$E$1/$E$2*10000</f>
        <v>6.9473566914233118E-5</v>
      </c>
      <c r="F40" s="35"/>
      <c r="G40" s="35"/>
      <c r="H40" s="35"/>
      <c r="I40" s="483">
        <f t="shared" si="13"/>
        <v>5.8607012933879277E-4</v>
      </c>
      <c r="K40" s="435" t="s">
        <v>625</v>
      </c>
      <c r="L40" s="702">
        <f t="shared" si="12"/>
        <v>239.95797731680082</v>
      </c>
      <c r="M40" s="702">
        <f t="shared" si="12"/>
        <v>133.10265282583623</v>
      </c>
      <c r="N40" s="702">
        <f t="shared" si="12"/>
        <v>253.57397504456324</v>
      </c>
      <c r="O40" s="702">
        <f>F18</f>
        <v>0</v>
      </c>
      <c r="P40" s="702">
        <f>G18</f>
        <v>0</v>
      </c>
      <c r="Q40" s="702">
        <f>5</f>
        <v>5</v>
      </c>
      <c r="R40" s="702">
        <f>I18</f>
        <v>194.9948485307975</v>
      </c>
    </row>
    <row r="41" spans="1:18">
      <c r="A41" s="101" t="str">
        <f t="shared" si="11"/>
        <v>碳强度</v>
      </c>
      <c r="B41" s="102"/>
      <c r="C41" s="485">
        <f>'fuel summary'!F200/$C$1/$C$2*10000</f>
        <v>3.2784641622763631</v>
      </c>
      <c r="D41" s="485">
        <f>'fuel summary'!F18/$D$1/$D$2*10000</f>
        <v>2.3597237812242624</v>
      </c>
      <c r="E41" s="485">
        <f>'fuel summary'!F124/$E$1/$E$2*10000</f>
        <v>4.5468685952737591</v>
      </c>
      <c r="F41" s="102"/>
      <c r="G41" s="102"/>
      <c r="H41" s="102"/>
      <c r="I41" s="483">
        <f t="shared" si="13"/>
        <v>2.7244114951668643</v>
      </c>
    </row>
    <row r="43" spans="1:18">
      <c r="A43" s="535" t="s">
        <v>1056</v>
      </c>
      <c r="C43" t="str">
        <f>C32</f>
        <v>煤电</v>
      </c>
      <c r="D43" t="str">
        <f t="shared" ref="D43:I43" si="14">D32</f>
        <v>气电</v>
      </c>
      <c r="E43" t="str">
        <f t="shared" si="14"/>
        <v>油电</v>
      </c>
      <c r="I43" t="str">
        <f t="shared" si="14"/>
        <v>网电</v>
      </c>
    </row>
    <row r="44" spans="1:18">
      <c r="A44" s="107" t="str">
        <f>A33</f>
        <v>其中：煤炭</v>
      </c>
      <c r="B44" s="108"/>
      <c r="C44" s="483">
        <f>'fuel summary'!G192/$C$1/$C$2*10000</f>
        <v>2.9382382323558796</v>
      </c>
      <c r="D44" s="483">
        <f>'fuel summary'!G10/$D$1/$D$2*10000/1000</f>
        <v>0</v>
      </c>
      <c r="E44" s="483">
        <f>('fuel summary'!G116+'fuel summary'!H116+'fuel summary'!I116)/$E$1/$E$2*10000</f>
        <v>6.2077524967048936E-2</v>
      </c>
      <c r="F44" s="108"/>
      <c r="G44" s="108"/>
      <c r="H44" s="108"/>
      <c r="I44" s="483">
        <f>(C44*80.1%+D44*0.7%+E44*1.8%)</f>
        <v>2.3546462195664661</v>
      </c>
    </row>
    <row r="45" spans="1:18">
      <c r="A45" s="93" t="str">
        <f>A34</f>
        <v xml:space="preserve">     天然气</v>
      </c>
      <c r="B45" s="35"/>
      <c r="C45" s="483">
        <f>'fuel summary'!G193/$C$1/$C$2*10000</f>
        <v>0</v>
      </c>
      <c r="D45" s="483">
        <f>'fuel summary'!G11/$D$1/$D$2*10000/1000</f>
        <v>2.3301061363345097</v>
      </c>
      <c r="E45" s="483">
        <f>('fuel summary'!G117+'fuel summary'!H117+'fuel summary'!I117)/$E$1/$E$2*10000</f>
        <v>1.7775688466652145E-2</v>
      </c>
      <c r="F45" s="35"/>
      <c r="G45" s="35"/>
      <c r="H45" s="35"/>
      <c r="I45" s="483">
        <f t="shared" ref="I45:I47" si="15">(C45*80.1%+D45*0.7%+E45*1.8%)</f>
        <v>1.6630705346741305E-2</v>
      </c>
    </row>
    <row r="46" spans="1:18">
      <c r="A46" s="93" t="str">
        <f>A35</f>
        <v xml:space="preserve">     石油</v>
      </c>
      <c r="B46" s="35"/>
      <c r="C46" s="483">
        <f>'fuel summary'!G194/$C$1/$C$2*10000</f>
        <v>0</v>
      </c>
      <c r="D46" s="483">
        <f>'fuel summary'!G12/$D$1/$D$2*10000/1000</f>
        <v>0</v>
      </c>
      <c r="E46" s="483">
        <f>('fuel summary'!G118+'fuel summary'!H118+'fuel summary'!I118)/$E$1/$E$2*10000</f>
        <v>3.5436694813134295</v>
      </c>
      <c r="F46" s="35"/>
      <c r="G46" s="35"/>
      <c r="H46" s="35"/>
      <c r="I46" s="483">
        <f t="shared" si="15"/>
        <v>6.3786050663641736E-2</v>
      </c>
    </row>
    <row r="47" spans="1:18">
      <c r="A47" s="93" t="str">
        <f>A36</f>
        <v>能源强度</v>
      </c>
      <c r="B47" s="35"/>
      <c r="C47" s="483">
        <f>'fuel summary'!G195/$C$1/$C$2*10000</f>
        <v>2.9382382323558796</v>
      </c>
      <c r="D47" s="483">
        <f>'fuel summary'!G13/$D$1/$D$2*10000/1000</f>
        <v>2.3301061363345097</v>
      </c>
      <c r="E47" s="483">
        <f>('fuel summary'!G119+'fuel summary'!H119+'fuel summary'!I119)/$E$1/$E$2*10000</f>
        <v>3.6235226947471304</v>
      </c>
      <c r="F47" s="35"/>
      <c r="G47" s="35"/>
      <c r="H47" s="35"/>
      <c r="I47" s="483">
        <f t="shared" si="15"/>
        <v>2.4350629755768489</v>
      </c>
    </row>
    <row r="48" spans="1:18">
      <c r="A48" s="93"/>
      <c r="B48" s="35"/>
      <c r="C48" s="483"/>
      <c r="D48" s="35"/>
      <c r="E48" s="35"/>
      <c r="F48" s="35"/>
      <c r="G48" s="35"/>
      <c r="H48" s="35"/>
      <c r="I48" s="84"/>
    </row>
    <row r="49" spans="1:9">
      <c r="A49" s="93" t="str">
        <f t="shared" ref="A49:A52" si="16">A38</f>
        <v>其中：CO2</v>
      </c>
      <c r="B49" s="35"/>
      <c r="C49" s="483">
        <f>'fuel summary'!G197/$C$1/$C$2*10000</f>
        <v>239.88364576599869</v>
      </c>
      <c r="D49" s="483">
        <f>'fuel summary'!G15/$D$1/$D$2*10000/1000</f>
        <v>133.1026528258362</v>
      </c>
      <c r="E49" s="483">
        <f>('fuel summary'!G121+'fuel summary'!H121+'fuel summary'!I121)/$E$1/$E$2*10000</f>
        <v>274.05442346250726</v>
      </c>
      <c r="F49" s="35"/>
      <c r="G49" s="35"/>
      <c r="H49" s="35"/>
      <c r="I49" s="483">
        <f>(C49*80.1%+D49*0.7%+E49*1.8%)</f>
        <v>198.01149845067093</v>
      </c>
    </row>
    <row r="50" spans="1:9">
      <c r="A50" s="93" t="str">
        <f t="shared" si="16"/>
        <v>CH4</v>
      </c>
      <c r="B50" s="35"/>
      <c r="C50" s="483">
        <f>'fuel summary'!G198/$C$1/$C$2*10000</f>
        <v>2.9382382323558795E-3</v>
      </c>
      <c r="D50" s="483">
        <f>'fuel summary'!G16/$D$1/$D$2*10000/1000</f>
        <v>0</v>
      </c>
      <c r="E50" s="483">
        <f>('fuel summary'!G122+'fuel summary'!H122+'fuel summary'!I122)/$E$1/$E$2*10000</f>
        <v>3.5578566736268566E-2</v>
      </c>
      <c r="F50" s="35"/>
      <c r="G50" s="35"/>
      <c r="H50" s="35"/>
      <c r="I50" s="483">
        <f t="shared" ref="I50:I52" si="17">(C50*80.1%+D50*0.7%+E50*1.8%)</f>
        <v>2.9939430253698935E-3</v>
      </c>
    </row>
    <row r="51" spans="1:9">
      <c r="A51" s="93" t="str">
        <f>A40</f>
        <v>N2O</v>
      </c>
      <c r="B51" s="35"/>
      <c r="C51" s="483">
        <f>'fuel summary'!G199/$C$1/$C$2*10000</f>
        <v>2.9382382323558795E-3</v>
      </c>
      <c r="D51" s="483">
        <f>'fuel summary'!G17/$D$1/$D$2*10000/1000</f>
        <v>0</v>
      </c>
      <c r="E51" s="483">
        <f>('fuel summary'!G123+'fuel summary'!H123+'fuel summary'!I123)/$E$1/$E$2*10000</f>
        <v>3.4286063838582977E-4</v>
      </c>
      <c r="F51" s="35"/>
      <c r="G51" s="35"/>
      <c r="H51" s="35"/>
      <c r="I51" s="483">
        <f t="shared" si="17"/>
        <v>2.3597003156080043E-3</v>
      </c>
    </row>
    <row r="52" spans="1:9">
      <c r="A52" s="101" t="str">
        <f t="shared" si="16"/>
        <v>碳强度</v>
      </c>
      <c r="B52" s="102"/>
      <c r="C52" s="483">
        <f>'fuel summary'!G200/$C$1/$C$2*10000</f>
        <v>239.95797731680088</v>
      </c>
      <c r="D52" s="483">
        <f>'fuel summary'!G18/$D$1/$D$2*10000</f>
        <v>133.1026528258362</v>
      </c>
      <c r="E52" s="483">
        <f>('fuel summary'!G124+'fuel summary'!H124+'fuel summary'!I124)/$E$1/$E$2*10000</f>
        <v>274.94398980338417</v>
      </c>
      <c r="F52" s="102"/>
      <c r="G52" s="102"/>
      <c r="H52" s="102"/>
      <c r="I52" s="483">
        <f t="shared" si="17"/>
        <v>198.08705021699924</v>
      </c>
    </row>
    <row r="54" spans="1:9">
      <c r="A54" s="535" t="s">
        <v>1061</v>
      </c>
      <c r="C54" t="str">
        <f>C43</f>
        <v>煤电</v>
      </c>
      <c r="D54" t="str">
        <f t="shared" ref="D54:I54" si="18">D43</f>
        <v>气电</v>
      </c>
      <c r="E54" t="str">
        <f t="shared" si="18"/>
        <v>油电</v>
      </c>
      <c r="I54" t="str">
        <f t="shared" si="18"/>
        <v>网电</v>
      </c>
    </row>
    <row r="55" spans="1:9">
      <c r="A55" t="str">
        <f>A44</f>
        <v>其中：煤炭</v>
      </c>
      <c r="C55" s="483">
        <f>C22+C33+C44</f>
        <v>3.1403189203537023</v>
      </c>
      <c r="D55" s="483">
        <f t="shared" ref="D55:E55" si="19">D22+D33+D44</f>
        <v>1.8015065042978444E-2</v>
      </c>
      <c r="E55" s="483">
        <f t="shared" si="19"/>
        <v>0.1999841681186818</v>
      </c>
      <c r="I55" s="483">
        <f>(C55*80.1%+D55*0.7%+E55*1.8%)</f>
        <v>2.5191212756847525</v>
      </c>
    </row>
    <row r="56" spans="1:9">
      <c r="A56" t="str">
        <f t="shared" ref="A56:A63" si="20">A45</f>
        <v xml:space="preserve">     天然气</v>
      </c>
      <c r="C56" s="483">
        <f t="shared" ref="C56:E56" si="21">C23+C34+C45</f>
        <v>7.6647989602251871E-3</v>
      </c>
      <c r="D56" s="483">
        <f t="shared" si="21"/>
        <v>2.5971860691664932</v>
      </c>
      <c r="E56" s="483">
        <f t="shared" si="21"/>
        <v>0.15731142551168342</v>
      </c>
      <c r="I56" s="483">
        <f t="shared" ref="I56:I58" si="22">(C56*80.1%+D56*0.7%+E56*1.8%)</f>
        <v>2.7151412110516127E-2</v>
      </c>
    </row>
    <row r="57" spans="1:9">
      <c r="A57" t="str">
        <f t="shared" si="20"/>
        <v xml:space="preserve">     石油</v>
      </c>
      <c r="C57" s="483">
        <f t="shared" ref="C57:E58" si="23">C24+C35+C46</f>
        <v>4.2512555205067866E-2</v>
      </c>
      <c r="D57" s="483">
        <f t="shared" si="23"/>
        <v>1.2434507114060757E-2</v>
      </c>
      <c r="E57" s="483">
        <f t="shared" si="23"/>
        <v>3.6969998024611739</v>
      </c>
      <c r="I57" s="483">
        <f t="shared" si="22"/>
        <v>0.10068559471335892</v>
      </c>
    </row>
    <row r="58" spans="1:9">
      <c r="A58" t="str">
        <f t="shared" si="20"/>
        <v>能源强度</v>
      </c>
      <c r="C58" s="483">
        <f t="shared" si="23"/>
        <v>3.1904962745189955</v>
      </c>
      <c r="D58" s="483">
        <f t="shared" si="23"/>
        <v>2.6276356413235327</v>
      </c>
      <c r="E58" s="483">
        <f t="shared" si="23"/>
        <v>4.0542953960915389</v>
      </c>
      <c r="I58" s="483">
        <f t="shared" si="22"/>
        <v>2.6469582825086273</v>
      </c>
    </row>
    <row r="59" spans="1:9">
      <c r="I59" s="84"/>
    </row>
    <row r="60" spans="1:9">
      <c r="A60" t="str">
        <f t="shared" si="20"/>
        <v>其中：CO2</v>
      </c>
      <c r="C60" s="483">
        <f>C27+C38+C49</f>
        <v>259.89865485960553</v>
      </c>
      <c r="D60" s="483">
        <f t="shared" ref="D60:E60" si="24">D27+D38+D49</f>
        <v>150.67244954240007</v>
      </c>
      <c r="E60" s="483">
        <f t="shared" si="24"/>
        <v>302.37633071656802</v>
      </c>
      <c r="I60" s="483">
        <f>(C60*80.1%+D60*0.7%+E60*1.8%)</f>
        <v>214.67630364223902</v>
      </c>
    </row>
    <row r="61" spans="1:9">
      <c r="A61" t="str">
        <f t="shared" si="20"/>
        <v>CH4</v>
      </c>
      <c r="C61" s="483">
        <f t="shared" ref="C61:E61" si="25">C28+C39+C50</f>
        <v>1.2794115889273716</v>
      </c>
      <c r="D61" s="483">
        <f t="shared" si="25"/>
        <v>0.19476376206790011</v>
      </c>
      <c r="E61" s="483">
        <f t="shared" si="25"/>
        <v>0.13269271006783301</v>
      </c>
      <c r="I61" s="483">
        <f t="shared" ref="I61:I63" si="26">(C61*80.1%+D61*0.7%+E61*1.8%)</f>
        <v>1.0285604978465208</v>
      </c>
    </row>
    <row r="62" spans="1:9">
      <c r="A62" t="str">
        <f>A51</f>
        <v>N2O</v>
      </c>
      <c r="C62" s="483">
        <f t="shared" ref="C62:E63" si="27">C29+C40+C51</f>
        <v>4.0328115638645938E-3</v>
      </c>
      <c r="D62" s="483">
        <f t="shared" si="27"/>
        <v>3.6612232291609711E-7</v>
      </c>
      <c r="E62" s="483">
        <f t="shared" si="27"/>
        <v>1.383543689240821E-3</v>
      </c>
      <c r="I62" s="483">
        <f t="shared" si="26"/>
        <v>3.2551884119181346E-3</v>
      </c>
    </row>
    <row r="63" spans="1:9">
      <c r="A63" t="str">
        <f t="shared" si="20"/>
        <v>碳强度</v>
      </c>
      <c r="C63" s="483">
        <f>C30+C41+C52</f>
        <v>291.88514636063587</v>
      </c>
      <c r="D63" s="483">
        <f t="shared" si="27"/>
        <v>155.54154370320202</v>
      </c>
      <c r="E63" s="483">
        <f t="shared" si="27"/>
        <v>305.69406076428317</v>
      </c>
      <c r="I63" s="483">
        <f t="shared" si="26"/>
        <v>240.39128613454881</v>
      </c>
    </row>
  </sheetData>
  <mergeCells count="2">
    <mergeCell ref="B3:B4"/>
    <mergeCell ref="C3:I3"/>
  </mergeCells>
  <phoneticPr fontId="26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J43"/>
  <sheetViews>
    <sheetView workbookViewId="0">
      <selection activeCell="AF23" sqref="AF23"/>
    </sheetView>
  </sheetViews>
  <sheetFormatPr defaultColWidth="8.875" defaultRowHeight="13.5" outlineLevelRow="1"/>
  <cols>
    <col min="1" max="1" width="8.875" style="257"/>
    <col min="2" max="4" width="6.125" style="257" bestFit="1" customWidth="1"/>
    <col min="5" max="5" width="9.25" style="257" bestFit="1" customWidth="1"/>
    <col min="6" max="7" width="6.125" style="257" bestFit="1" customWidth="1"/>
    <col min="8" max="8" width="9.25" style="257" bestFit="1" customWidth="1"/>
    <col min="9" max="10" width="6.125" style="257" bestFit="1" customWidth="1"/>
    <col min="11" max="13" width="9.25" style="257" bestFit="1" customWidth="1"/>
    <col min="14" max="14" width="13.25" style="257" customWidth="1"/>
    <col min="15" max="15" width="14.25" style="257" customWidth="1"/>
    <col min="16" max="16" width="10.625" style="257" bestFit="1" customWidth="1"/>
    <col min="17" max="17" width="9.125" style="257" bestFit="1" customWidth="1"/>
    <col min="18" max="18" width="10.125" style="257" bestFit="1" customWidth="1"/>
    <col min="19" max="19" width="13.625" style="257" bestFit="1" customWidth="1"/>
    <col min="20" max="20" width="8.875" style="257"/>
    <col min="21" max="21" width="9.875" style="257" customWidth="1"/>
    <col min="22" max="22" width="12" style="257" customWidth="1"/>
    <col min="23" max="23" width="19.375" style="257" bestFit="1" customWidth="1"/>
    <col min="24" max="25" width="8.875" style="257"/>
    <col min="26" max="26" width="13.625" style="257" bestFit="1" customWidth="1"/>
    <col min="27" max="28" width="8.875" style="257"/>
    <col min="29" max="29" width="13.625" style="257" bestFit="1" customWidth="1"/>
    <col min="30" max="30" width="20.5" style="257" bestFit="1" customWidth="1"/>
    <col min="31" max="31" width="8.875" style="257"/>
    <col min="32" max="32" width="13.625" style="257" bestFit="1" customWidth="1"/>
    <col min="33" max="33" width="9.125" style="257" bestFit="1" customWidth="1"/>
    <col min="34" max="35" width="8.875" style="257"/>
    <col min="36" max="36" width="8.875" style="424"/>
    <col min="37" max="16384" width="8.875" style="257"/>
  </cols>
  <sheetData>
    <row r="1" spans="1:36" ht="28.5" thickTop="1" thickBot="1">
      <c r="A1" s="671" t="s">
        <v>930</v>
      </c>
      <c r="B1" s="516"/>
      <c r="N1" s="258" t="s">
        <v>368</v>
      </c>
      <c r="O1" s="259">
        <v>1</v>
      </c>
      <c r="P1" s="259">
        <v>2</v>
      </c>
      <c r="Q1" s="259">
        <v>3</v>
      </c>
      <c r="R1" s="259"/>
      <c r="S1" s="259">
        <v>4</v>
      </c>
      <c r="T1" s="260" t="s">
        <v>11</v>
      </c>
      <c r="U1" s="259">
        <v>1</v>
      </c>
      <c r="V1" s="259">
        <v>2</v>
      </c>
      <c r="W1" s="259">
        <v>3</v>
      </c>
      <c r="X1" s="259">
        <v>4</v>
      </c>
      <c r="Y1" s="261" t="s">
        <v>369</v>
      </c>
      <c r="Z1" s="517" t="s">
        <v>550</v>
      </c>
      <c r="AA1" s="517" t="s">
        <v>551</v>
      </c>
      <c r="AB1" s="517" t="s">
        <v>552</v>
      </c>
      <c r="AC1" s="518" t="s">
        <v>553</v>
      </c>
      <c r="AD1" s="517" t="s">
        <v>554</v>
      </c>
      <c r="AE1" s="257" t="s">
        <v>370</v>
      </c>
      <c r="AF1" s="395" t="s">
        <v>369</v>
      </c>
      <c r="AG1" s="396"/>
      <c r="AH1" s="396"/>
      <c r="AI1" s="396"/>
      <c r="AJ1" s="421"/>
    </row>
    <row r="2" spans="1:36" ht="33" thickTop="1" thickBot="1">
      <c r="A2" s="262" t="s">
        <v>371</v>
      </c>
      <c r="B2" s="729" t="s">
        <v>372</v>
      </c>
      <c r="C2" s="729"/>
      <c r="D2" s="729"/>
      <c r="E2" s="729"/>
      <c r="F2" s="729" t="s">
        <v>373</v>
      </c>
      <c r="G2" s="729"/>
      <c r="H2" s="729"/>
      <c r="I2" s="729"/>
      <c r="J2" s="728" t="s">
        <v>374</v>
      </c>
      <c r="K2" s="728"/>
      <c r="L2" s="728"/>
      <c r="M2" s="728"/>
      <c r="N2" s="263" t="s">
        <v>369</v>
      </c>
      <c r="O2" s="425" t="s">
        <v>556</v>
      </c>
      <c r="P2" s="425" t="s">
        <v>557</v>
      </c>
      <c r="Q2" s="425" t="s">
        <v>557</v>
      </c>
      <c r="R2" s="264" t="s">
        <v>559</v>
      </c>
      <c r="S2" s="425" t="s">
        <v>557</v>
      </c>
      <c r="T2" s="426" t="s">
        <v>558</v>
      </c>
      <c r="U2" s="501" t="s">
        <v>375</v>
      </c>
      <c r="V2" s="265"/>
      <c r="W2" s="265"/>
      <c r="X2" s="265"/>
      <c r="Y2" s="266" t="s">
        <v>376</v>
      </c>
      <c r="Z2" s="519" t="s">
        <v>9</v>
      </c>
      <c r="AA2" s="519" t="s">
        <v>11</v>
      </c>
      <c r="AB2" s="519" t="s">
        <v>9</v>
      </c>
      <c r="AC2" s="519" t="s">
        <v>555</v>
      </c>
      <c r="AD2" s="519" t="s">
        <v>9</v>
      </c>
      <c r="AE2" s="267" t="s">
        <v>9</v>
      </c>
      <c r="AF2" s="397" t="s">
        <v>376</v>
      </c>
      <c r="AG2" s="398" t="s">
        <v>377</v>
      </c>
      <c r="AH2" s="399" t="s">
        <v>9</v>
      </c>
      <c r="AI2" s="399" t="s">
        <v>9</v>
      </c>
      <c r="AJ2" s="422" t="s">
        <v>10</v>
      </c>
    </row>
    <row r="3" spans="1:36" ht="15.75" thickBot="1">
      <c r="A3" s="268" t="s">
        <v>368</v>
      </c>
      <c r="B3" s="269">
        <v>1</v>
      </c>
      <c r="C3" s="269">
        <v>2</v>
      </c>
      <c r="D3" s="269">
        <v>3</v>
      </c>
      <c r="E3" s="269">
        <v>4</v>
      </c>
      <c r="F3" s="269">
        <v>1</v>
      </c>
      <c r="G3" s="269">
        <v>2</v>
      </c>
      <c r="H3" s="269">
        <v>3</v>
      </c>
      <c r="I3" s="269">
        <v>4</v>
      </c>
      <c r="J3" s="267">
        <v>1</v>
      </c>
      <c r="K3" s="267">
        <v>2</v>
      </c>
      <c r="L3" s="267">
        <v>3</v>
      </c>
      <c r="M3" s="267">
        <v>4</v>
      </c>
      <c r="N3" s="270" t="s">
        <v>372</v>
      </c>
      <c r="O3" s="528">
        <v>94.6</v>
      </c>
      <c r="P3" s="271">
        <v>100</v>
      </c>
      <c r="Q3" s="271">
        <v>100</v>
      </c>
      <c r="R3" s="272">
        <v>100</v>
      </c>
      <c r="S3" s="271">
        <v>100</v>
      </c>
      <c r="T3" s="273" t="s">
        <v>11</v>
      </c>
      <c r="U3" s="274">
        <f>100/O3-1</f>
        <v>5.7082452431289621E-2</v>
      </c>
      <c r="V3" s="274">
        <f>100/P3-1</f>
        <v>0</v>
      </c>
      <c r="W3" s="500">
        <f>100/Q3-1</f>
        <v>0</v>
      </c>
      <c r="X3" s="274">
        <f t="shared" ref="X3:X10" si="0">100/S3-1</f>
        <v>0</v>
      </c>
      <c r="Y3" s="275" t="s">
        <v>372</v>
      </c>
      <c r="Z3" s="520">
        <f>Z6</f>
        <v>24.74</v>
      </c>
      <c r="AA3" s="520">
        <v>0.9</v>
      </c>
      <c r="AB3" s="520">
        <v>1E-3</v>
      </c>
      <c r="AC3" s="520">
        <v>1E-3</v>
      </c>
      <c r="AD3" s="520">
        <v>0.40600000000000003</v>
      </c>
      <c r="AE3" s="315">
        <f>44/12*Z3*AA3</f>
        <v>81.641999999999996</v>
      </c>
      <c r="AF3" s="499" t="s">
        <v>691</v>
      </c>
      <c r="AG3" s="401">
        <v>100.5</v>
      </c>
      <c r="AH3" s="402">
        <v>4.26</v>
      </c>
      <c r="AI3" s="402">
        <v>0.42</v>
      </c>
      <c r="AJ3" s="423">
        <v>0.06</v>
      </c>
    </row>
    <row r="4" spans="1:36" ht="27">
      <c r="A4" s="276" t="s">
        <v>372</v>
      </c>
      <c r="B4" s="277">
        <v>0.73</v>
      </c>
      <c r="C4" s="278">
        <v>0</v>
      </c>
      <c r="D4" s="278">
        <v>0</v>
      </c>
      <c r="E4" s="278">
        <v>0</v>
      </c>
      <c r="F4" s="278">
        <v>0.04</v>
      </c>
      <c r="G4" s="278">
        <v>0</v>
      </c>
      <c r="H4" s="278">
        <v>0</v>
      </c>
      <c r="I4" s="278">
        <v>0</v>
      </c>
      <c r="J4" s="278">
        <v>0.04</v>
      </c>
      <c r="K4" s="279">
        <v>0</v>
      </c>
      <c r="L4" s="279">
        <v>0</v>
      </c>
      <c r="M4" s="279">
        <v>0</v>
      </c>
      <c r="N4" s="270" t="s">
        <v>373</v>
      </c>
      <c r="O4" s="271">
        <v>90.2</v>
      </c>
      <c r="P4" s="271">
        <v>100</v>
      </c>
      <c r="Q4" s="271">
        <v>100</v>
      </c>
      <c r="R4" s="272">
        <v>100</v>
      </c>
      <c r="S4" s="271">
        <v>100</v>
      </c>
      <c r="T4" s="273" t="s">
        <v>11</v>
      </c>
      <c r="U4" s="274">
        <f t="shared" ref="U4:W7" si="1">100/O4-1</f>
        <v>0.10864745011086474</v>
      </c>
      <c r="V4" s="274">
        <f t="shared" si="1"/>
        <v>0</v>
      </c>
      <c r="W4" s="500">
        <f t="shared" si="1"/>
        <v>0</v>
      </c>
      <c r="X4" s="274">
        <f t="shared" si="0"/>
        <v>0</v>
      </c>
      <c r="Y4" s="275" t="s">
        <v>373</v>
      </c>
      <c r="Z4" s="520">
        <v>15.3</v>
      </c>
      <c r="AA4" s="520">
        <v>0.99</v>
      </c>
      <c r="AB4" s="520">
        <v>1E-3</v>
      </c>
      <c r="AC4" s="520">
        <v>1E-3</v>
      </c>
      <c r="AD4" s="520">
        <v>7.1999999999999995E-2</v>
      </c>
      <c r="AE4" s="315">
        <f>44/12*Z4*AA4</f>
        <v>55.539000000000001</v>
      </c>
      <c r="AF4" s="400" t="s">
        <v>373</v>
      </c>
      <c r="AG4" s="401">
        <v>68.59</v>
      </c>
      <c r="AH4" s="402">
        <v>11.91</v>
      </c>
      <c r="AI4" s="402">
        <v>7.0000000000000007E-2</v>
      </c>
      <c r="AJ4" s="423">
        <v>0.15</v>
      </c>
    </row>
    <row r="5" spans="1:36" ht="15">
      <c r="A5" s="276" t="s">
        <v>373</v>
      </c>
      <c r="B5" s="277">
        <v>0</v>
      </c>
      <c r="C5" s="278">
        <v>0</v>
      </c>
      <c r="D5" s="278">
        <v>0</v>
      </c>
      <c r="E5" s="278">
        <v>0</v>
      </c>
      <c r="F5" s="278">
        <v>0.43</v>
      </c>
      <c r="G5" s="278">
        <v>0</v>
      </c>
      <c r="H5" s="278">
        <v>0</v>
      </c>
      <c r="I5" s="278">
        <v>0</v>
      </c>
      <c r="J5" s="278">
        <v>0.43</v>
      </c>
      <c r="K5" s="279">
        <v>0</v>
      </c>
      <c r="L5" s="279">
        <v>0</v>
      </c>
      <c r="M5" s="279">
        <v>0</v>
      </c>
      <c r="N5" s="270" t="s">
        <v>374</v>
      </c>
      <c r="O5" s="526">
        <v>93</v>
      </c>
      <c r="P5" s="271">
        <v>100</v>
      </c>
      <c r="Q5" s="271">
        <v>100</v>
      </c>
      <c r="R5" s="272">
        <v>100</v>
      </c>
      <c r="S5" s="271">
        <v>100</v>
      </c>
      <c r="T5" s="273" t="s">
        <v>11</v>
      </c>
      <c r="U5" s="274">
        <f t="shared" si="1"/>
        <v>7.5268817204301008E-2</v>
      </c>
      <c r="V5" s="274">
        <f t="shared" si="1"/>
        <v>0</v>
      </c>
      <c r="W5" s="500">
        <f>100/Q5-1</f>
        <v>0</v>
      </c>
      <c r="X5" s="274">
        <f t="shared" si="0"/>
        <v>0</v>
      </c>
      <c r="Y5" s="275" t="s">
        <v>374</v>
      </c>
      <c r="Z5" s="520">
        <v>20</v>
      </c>
      <c r="AA5" s="520">
        <v>0.98</v>
      </c>
      <c r="AB5" s="520">
        <v>2E-3</v>
      </c>
      <c r="AC5" s="520">
        <v>0</v>
      </c>
      <c r="AD5" s="520">
        <v>8.9999999999999993E-3</v>
      </c>
      <c r="AE5" s="315">
        <f t="shared" ref="AE5:AE10" si="2">44/12*Z5*AA5</f>
        <v>71.86666666666666</v>
      </c>
      <c r="AF5" s="400" t="s">
        <v>374</v>
      </c>
      <c r="AG5" s="401">
        <v>89.19</v>
      </c>
      <c r="AH5" s="402">
        <v>16</v>
      </c>
      <c r="AI5" s="402">
        <v>0.05</v>
      </c>
      <c r="AJ5" s="423">
        <v>0.15</v>
      </c>
    </row>
    <row r="6" spans="1:36" ht="15">
      <c r="A6" s="276" t="s">
        <v>374</v>
      </c>
      <c r="B6" s="277">
        <v>0</v>
      </c>
      <c r="C6" s="278">
        <v>0</v>
      </c>
      <c r="D6" s="278">
        <v>0</v>
      </c>
      <c r="E6" s="278">
        <v>0</v>
      </c>
      <c r="F6" s="278">
        <v>0.28000000000000003</v>
      </c>
      <c r="G6" s="278">
        <v>0</v>
      </c>
      <c r="H6" s="278">
        <v>0</v>
      </c>
      <c r="I6" s="278">
        <v>0</v>
      </c>
      <c r="J6" s="278">
        <v>0.28000000000000003</v>
      </c>
      <c r="K6" s="279">
        <v>0</v>
      </c>
      <c r="L6" s="279">
        <v>0</v>
      </c>
      <c r="M6" s="279">
        <v>0</v>
      </c>
      <c r="N6" s="270" t="s">
        <v>378</v>
      </c>
      <c r="O6" s="528">
        <v>94.6</v>
      </c>
      <c r="P6" s="271">
        <v>98.9</v>
      </c>
      <c r="Q6" s="271">
        <v>100</v>
      </c>
      <c r="R6" s="272">
        <v>100</v>
      </c>
      <c r="S6" s="271">
        <v>100</v>
      </c>
      <c r="T6" s="273" t="s">
        <v>11</v>
      </c>
      <c r="U6" s="274">
        <f t="shared" si="1"/>
        <v>5.7082452431289621E-2</v>
      </c>
      <c r="V6" s="274">
        <f t="shared" si="1"/>
        <v>1.1122345803842304E-2</v>
      </c>
      <c r="W6" s="500">
        <f t="shared" si="1"/>
        <v>0</v>
      </c>
      <c r="X6" s="274">
        <f t="shared" si="0"/>
        <v>0</v>
      </c>
      <c r="Y6" s="275" t="s">
        <v>378</v>
      </c>
      <c r="Z6" s="520">
        <v>24.74</v>
      </c>
      <c r="AA6" s="520">
        <v>0.9</v>
      </c>
      <c r="AB6" s="520">
        <v>1E-3</v>
      </c>
      <c r="AC6" s="520">
        <v>1E-3</v>
      </c>
      <c r="AD6" s="520">
        <v>0.40600000000000003</v>
      </c>
      <c r="AE6" s="315">
        <f t="shared" si="2"/>
        <v>81.641999999999996</v>
      </c>
      <c r="AF6" s="400" t="s">
        <v>378</v>
      </c>
      <c r="AG6" s="401">
        <v>104.5</v>
      </c>
      <c r="AH6" s="402">
        <v>5.73</v>
      </c>
      <c r="AI6" s="402">
        <v>0.43</v>
      </c>
      <c r="AJ6" s="423">
        <v>0.15</v>
      </c>
    </row>
    <row r="7" spans="1:36" ht="27">
      <c r="A7" s="276" t="s">
        <v>378</v>
      </c>
      <c r="B7" s="277">
        <v>0.08</v>
      </c>
      <c r="C7" s="278">
        <v>0</v>
      </c>
      <c r="D7" s="278">
        <v>0</v>
      </c>
      <c r="E7" s="278">
        <v>0</v>
      </c>
      <c r="F7" s="278">
        <v>0</v>
      </c>
      <c r="G7" s="278">
        <v>0</v>
      </c>
      <c r="H7" s="278">
        <v>0</v>
      </c>
      <c r="I7" s="278">
        <v>0</v>
      </c>
      <c r="J7" s="278">
        <v>0</v>
      </c>
      <c r="K7" s="279">
        <v>0</v>
      </c>
      <c r="L7" s="279">
        <v>0</v>
      </c>
      <c r="M7" s="279">
        <v>0</v>
      </c>
      <c r="N7" s="270" t="s">
        <v>379</v>
      </c>
      <c r="O7" s="271">
        <v>90.2</v>
      </c>
      <c r="P7" s="271">
        <v>99.6</v>
      </c>
      <c r="Q7" s="271">
        <v>100</v>
      </c>
      <c r="R7" s="272">
        <v>100</v>
      </c>
      <c r="S7" s="271">
        <v>100</v>
      </c>
      <c r="T7" s="273" t="s">
        <v>11</v>
      </c>
      <c r="U7" s="274">
        <f t="shared" si="1"/>
        <v>0.10864745011086474</v>
      </c>
      <c r="V7" s="274">
        <f>100/P7-1</f>
        <v>4.0160642570281624E-3</v>
      </c>
      <c r="W7" s="500">
        <f t="shared" si="1"/>
        <v>0</v>
      </c>
      <c r="X7" s="274">
        <f>100/S7-1</f>
        <v>0</v>
      </c>
      <c r="Y7" s="275" t="s">
        <v>379</v>
      </c>
      <c r="Z7" s="521">
        <v>15.7</v>
      </c>
      <c r="AA7" s="520">
        <v>0.99</v>
      </c>
      <c r="AB7" s="520">
        <v>1E-3</v>
      </c>
      <c r="AC7" s="520">
        <v>1E-3</v>
      </c>
      <c r="AD7" s="520">
        <v>7.1999999999999995E-2</v>
      </c>
      <c r="AE7" s="315">
        <f>44/12*Z7*AA7</f>
        <v>56.990999999999993</v>
      </c>
      <c r="AF7" s="400" t="s">
        <v>379</v>
      </c>
      <c r="AG7" s="401">
        <v>72.73</v>
      </c>
      <c r="AH7" s="402">
        <v>13.54</v>
      </c>
      <c r="AI7" s="402">
        <v>0.11</v>
      </c>
      <c r="AJ7" s="423">
        <v>0.15</v>
      </c>
    </row>
    <row r="8" spans="1:36" ht="15">
      <c r="A8" s="276" t="s">
        <v>379</v>
      </c>
      <c r="B8" s="277">
        <v>5.0000000000000001E-3</v>
      </c>
      <c r="C8" s="278">
        <v>0</v>
      </c>
      <c r="D8" s="278">
        <v>0</v>
      </c>
      <c r="E8" s="278">
        <v>0</v>
      </c>
      <c r="F8" s="278">
        <v>0</v>
      </c>
      <c r="G8" s="278">
        <v>0</v>
      </c>
      <c r="H8" s="278">
        <v>0</v>
      </c>
      <c r="I8" s="278">
        <v>0</v>
      </c>
      <c r="J8" s="278">
        <v>0</v>
      </c>
      <c r="K8" s="279">
        <v>0</v>
      </c>
      <c r="L8" s="279">
        <v>0</v>
      </c>
      <c r="M8" s="279">
        <v>0</v>
      </c>
      <c r="N8" s="270" t="s">
        <v>380</v>
      </c>
      <c r="O8" s="526">
        <v>93</v>
      </c>
      <c r="P8" s="271">
        <v>99</v>
      </c>
      <c r="Q8" s="526">
        <v>89.7</v>
      </c>
      <c r="R8" s="272">
        <v>95</v>
      </c>
      <c r="S8" s="271">
        <v>99.5</v>
      </c>
      <c r="T8" s="273" t="s">
        <v>11</v>
      </c>
      <c r="U8" s="274">
        <f>(100/O8-1)/$R8*100</f>
        <v>7.9230333899264219E-2</v>
      </c>
      <c r="V8" s="274">
        <f>(100/P8-1)*100/$R8</f>
        <v>1.0632642211589648E-2</v>
      </c>
      <c r="W8" s="500">
        <f>100/Q8-1</f>
        <v>0.11482720178372352</v>
      </c>
      <c r="X8" s="274">
        <f t="shared" si="0"/>
        <v>5.0251256281406143E-3</v>
      </c>
      <c r="Y8" s="275" t="s">
        <v>380</v>
      </c>
      <c r="Z8" s="520">
        <v>20.2</v>
      </c>
      <c r="AA8" s="520">
        <v>0.98</v>
      </c>
      <c r="AB8" s="520">
        <v>4.0000000000000001E-3</v>
      </c>
      <c r="AC8" s="521">
        <v>2.8000000000000001E-2</v>
      </c>
      <c r="AD8" s="520">
        <v>8.9999999999999993E-3</v>
      </c>
      <c r="AE8" s="315">
        <f>44/12*Z8*AA8</f>
        <v>72.585333333333324</v>
      </c>
      <c r="AF8" s="400" t="s">
        <v>380</v>
      </c>
      <c r="AG8" s="401">
        <v>102.4</v>
      </c>
      <c r="AH8" s="402">
        <v>28.29</v>
      </c>
      <c r="AI8" s="402">
        <v>0.08</v>
      </c>
      <c r="AJ8" s="423">
        <v>0.15</v>
      </c>
    </row>
    <row r="9" spans="1:36" ht="15">
      <c r="A9" s="276" t="s">
        <v>380</v>
      </c>
      <c r="B9" s="277">
        <v>0.03</v>
      </c>
      <c r="C9" s="278">
        <v>0</v>
      </c>
      <c r="D9" s="278">
        <v>0</v>
      </c>
      <c r="E9" s="278">
        <v>0</v>
      </c>
      <c r="F9" s="278">
        <v>0.09</v>
      </c>
      <c r="G9" s="278">
        <v>0</v>
      </c>
      <c r="H9" s="278">
        <v>0</v>
      </c>
      <c r="I9" s="278">
        <v>0</v>
      </c>
      <c r="J9" s="278">
        <v>0.09</v>
      </c>
      <c r="K9" s="279">
        <v>0</v>
      </c>
      <c r="L9" s="279">
        <v>0</v>
      </c>
      <c r="M9" s="279">
        <v>0</v>
      </c>
      <c r="N9" s="270" t="s">
        <v>381</v>
      </c>
      <c r="O9" s="526">
        <v>93</v>
      </c>
      <c r="P9" s="271">
        <v>99</v>
      </c>
      <c r="Q9" s="526">
        <v>89.1</v>
      </c>
      <c r="R9" s="272">
        <v>95</v>
      </c>
      <c r="S9" s="271">
        <v>99.5</v>
      </c>
      <c r="T9" s="273" t="s">
        <v>11</v>
      </c>
      <c r="U9" s="274">
        <f>(100/O9-1)/$R9*100</f>
        <v>7.9230333899264219E-2</v>
      </c>
      <c r="V9" s="274">
        <f>(100/P9-1)*100/$R9</f>
        <v>1.0632642211589648E-2</v>
      </c>
      <c r="W9" s="500">
        <f>100/Q9-1</f>
        <v>0.122334455667789</v>
      </c>
      <c r="X9" s="274">
        <f t="shared" si="0"/>
        <v>5.0251256281406143E-3</v>
      </c>
      <c r="Y9" s="275" t="s">
        <v>381</v>
      </c>
      <c r="Z9" s="520">
        <v>18.899999999999999</v>
      </c>
      <c r="AA9" s="520">
        <v>0.98</v>
      </c>
      <c r="AB9" s="520">
        <v>0.08</v>
      </c>
      <c r="AC9" s="520">
        <v>2E-3</v>
      </c>
      <c r="AD9" s="520">
        <v>8.9999999999999993E-3</v>
      </c>
      <c r="AE9" s="315">
        <f t="shared" si="2"/>
        <v>67.914000000000001</v>
      </c>
      <c r="AF9" s="400" t="s">
        <v>381</v>
      </c>
      <c r="AG9" s="401">
        <v>98.86</v>
      </c>
      <c r="AH9" s="402">
        <v>30.51</v>
      </c>
      <c r="AI9" s="402">
        <v>0.09</v>
      </c>
      <c r="AJ9" s="423">
        <v>0.15</v>
      </c>
    </row>
    <row r="10" spans="1:36" ht="15">
      <c r="A10" s="276" t="s">
        <v>381</v>
      </c>
      <c r="B10" s="277">
        <v>0</v>
      </c>
      <c r="C10" s="278">
        <v>0</v>
      </c>
      <c r="D10" s="278">
        <v>0</v>
      </c>
      <c r="E10" s="278">
        <v>0</v>
      </c>
      <c r="F10" s="278">
        <v>0.01</v>
      </c>
      <c r="G10" s="278">
        <v>0</v>
      </c>
      <c r="H10" s="278">
        <v>0</v>
      </c>
      <c r="I10" s="278">
        <v>0</v>
      </c>
      <c r="J10" s="278">
        <v>0.01</v>
      </c>
      <c r="K10" s="279">
        <v>0</v>
      </c>
      <c r="L10" s="279">
        <v>0</v>
      </c>
      <c r="M10" s="279">
        <v>0</v>
      </c>
      <c r="N10" s="270" t="s">
        <v>382</v>
      </c>
      <c r="O10" s="271">
        <v>93</v>
      </c>
      <c r="P10" s="271">
        <v>99</v>
      </c>
      <c r="Q10" s="271">
        <v>94</v>
      </c>
      <c r="R10" s="272">
        <v>97</v>
      </c>
      <c r="S10" s="271">
        <v>99.5</v>
      </c>
      <c r="T10" s="273" t="s">
        <v>11</v>
      </c>
      <c r="U10" s="274">
        <f>(100/O10-1)/$R10*100</f>
        <v>7.7596718767320633E-2</v>
      </c>
      <c r="V10" s="274">
        <f>(100/P10-1)*100/$R10</f>
        <v>1.0413412475268212E-2</v>
      </c>
      <c r="W10" s="500">
        <f>100/Q10-1</f>
        <v>6.3829787234042534E-2</v>
      </c>
      <c r="X10" s="274">
        <f t="shared" si="0"/>
        <v>5.0251256281406143E-3</v>
      </c>
      <c r="Y10" s="275" t="s">
        <v>382</v>
      </c>
      <c r="Z10" s="520">
        <v>21.1</v>
      </c>
      <c r="AA10" s="520">
        <v>0.98</v>
      </c>
      <c r="AB10" s="520">
        <v>2E-3</v>
      </c>
      <c r="AC10" s="520">
        <v>0</v>
      </c>
      <c r="AD10" s="520">
        <v>8.9999999999999993E-3</v>
      </c>
      <c r="AE10" s="315">
        <f t="shared" si="2"/>
        <v>75.819333333333333</v>
      </c>
      <c r="AF10" s="400" t="s">
        <v>382</v>
      </c>
      <c r="AG10" s="401">
        <v>102.9</v>
      </c>
      <c r="AH10" s="402">
        <v>25.33</v>
      </c>
      <c r="AI10" s="402">
        <v>7.0000000000000007E-2</v>
      </c>
      <c r="AJ10" s="423">
        <v>0.15</v>
      </c>
    </row>
    <row r="11" spans="1:36" ht="15.75" thickBot="1">
      <c r="A11" s="276" t="s">
        <v>382</v>
      </c>
      <c r="B11" s="277">
        <v>0</v>
      </c>
      <c r="C11" s="278">
        <v>0</v>
      </c>
      <c r="D11" s="278">
        <v>0</v>
      </c>
      <c r="E11" s="278">
        <v>0</v>
      </c>
      <c r="F11" s="278">
        <v>0.01</v>
      </c>
      <c r="G11" s="278">
        <v>0</v>
      </c>
      <c r="H11" s="278">
        <v>0</v>
      </c>
      <c r="I11" s="278">
        <v>0</v>
      </c>
      <c r="J11" s="278">
        <v>0.01</v>
      </c>
      <c r="K11" s="279">
        <v>0</v>
      </c>
      <c r="L11" s="279">
        <v>0</v>
      </c>
      <c r="M11" s="279">
        <v>0</v>
      </c>
      <c r="N11" s="270" t="s">
        <v>308</v>
      </c>
      <c r="O11" s="271">
        <v>100</v>
      </c>
      <c r="P11" s="271">
        <v>100</v>
      </c>
      <c r="Q11" s="280">
        <v>36.4</v>
      </c>
      <c r="R11" s="281">
        <v>36.4</v>
      </c>
      <c r="S11" s="280">
        <v>93.5</v>
      </c>
      <c r="T11" s="541">
        <f>97*(1-T14/100)</f>
        <v>80.122</v>
      </c>
      <c r="U11" s="282">
        <f>34145/42280</f>
        <v>0.80759224219489123</v>
      </c>
      <c r="V11" s="282"/>
      <c r="W11" s="282">
        <f>T11/Q11/S11*100</f>
        <v>2.3541752365281781</v>
      </c>
      <c r="X11" s="283"/>
      <c r="Y11" s="284" t="s">
        <v>383</v>
      </c>
      <c r="Z11" s="522">
        <v>0</v>
      </c>
      <c r="AA11" s="522">
        <v>0</v>
      </c>
      <c r="AB11" s="522">
        <v>0</v>
      </c>
      <c r="AC11" s="522">
        <v>0</v>
      </c>
      <c r="AD11" s="522">
        <v>0</v>
      </c>
      <c r="AE11" s="316">
        <v>0</v>
      </c>
      <c r="AF11" s="403" t="s">
        <v>383</v>
      </c>
      <c r="AG11" s="404">
        <v>297.7</v>
      </c>
      <c r="AH11" s="404">
        <v>273.31</v>
      </c>
      <c r="AI11" s="404">
        <v>1.01</v>
      </c>
      <c r="AJ11" s="423">
        <v>0.15</v>
      </c>
    </row>
    <row r="12" spans="1:36" ht="16.5" thickTop="1" thickBot="1">
      <c r="A12" s="285" t="s">
        <v>383</v>
      </c>
      <c r="B12" s="286">
        <v>0.15</v>
      </c>
      <c r="C12" s="287">
        <v>0</v>
      </c>
      <c r="D12" s="287">
        <v>0</v>
      </c>
      <c r="E12" s="287">
        <v>0</v>
      </c>
      <c r="F12" s="287">
        <v>0.14000000000000001</v>
      </c>
      <c r="G12" s="287">
        <v>0</v>
      </c>
      <c r="H12" s="287">
        <v>0</v>
      </c>
      <c r="I12" s="287">
        <v>0</v>
      </c>
      <c r="J12" s="287">
        <v>0.14000000000000001</v>
      </c>
      <c r="K12" s="288">
        <v>0</v>
      </c>
      <c r="L12" s="288">
        <v>0</v>
      </c>
      <c r="M12" s="288">
        <v>0</v>
      </c>
      <c r="N12" s="270" t="s">
        <v>310</v>
      </c>
      <c r="O12" s="271">
        <v>100</v>
      </c>
      <c r="P12" s="271">
        <v>100</v>
      </c>
      <c r="Q12" s="271">
        <v>45.9</v>
      </c>
      <c r="R12" s="272">
        <v>45.9</v>
      </c>
      <c r="S12" s="271">
        <v>93.5</v>
      </c>
      <c r="T12" s="541">
        <f>0.8*(1-T14/100)</f>
        <v>0.66080000000000005</v>
      </c>
      <c r="U12" s="282"/>
      <c r="V12" s="282"/>
      <c r="W12" s="282">
        <f>T12/Q12/S12*100</f>
        <v>1.5397341348898443E-2</v>
      </c>
      <c r="X12" s="283"/>
      <c r="Y12" s="283"/>
      <c r="Z12" s="283"/>
    </row>
    <row r="13" spans="1:36" ht="16.5" outlineLevel="1" thickTop="1" thickBot="1">
      <c r="A13" s="262" t="s">
        <v>371</v>
      </c>
      <c r="B13" s="728" t="s">
        <v>378</v>
      </c>
      <c r="C13" s="728"/>
      <c r="D13" s="728"/>
      <c r="E13" s="728"/>
      <c r="F13" s="729" t="s">
        <v>379</v>
      </c>
      <c r="G13" s="729"/>
      <c r="H13" s="729"/>
      <c r="I13" s="729"/>
      <c r="J13" s="729" t="s">
        <v>380</v>
      </c>
      <c r="K13" s="729"/>
      <c r="L13" s="729"/>
      <c r="M13" s="729"/>
      <c r="N13" s="270" t="s">
        <v>309</v>
      </c>
      <c r="O13" s="271">
        <v>100</v>
      </c>
      <c r="P13" s="271">
        <v>100</v>
      </c>
      <c r="Q13" s="271">
        <v>32</v>
      </c>
      <c r="R13" s="272">
        <v>32</v>
      </c>
      <c r="S13" s="271">
        <v>93.5</v>
      </c>
      <c r="T13" s="541">
        <f>100-T11-T12-T14</f>
        <v>1.8171999999999997</v>
      </c>
      <c r="U13" s="282"/>
      <c r="V13" s="282"/>
      <c r="W13" s="282">
        <f>T13/Q13/S13*100</f>
        <v>6.0735294117647047E-2</v>
      </c>
    </row>
    <row r="14" spans="1:36" ht="15.75" outlineLevel="1" thickBot="1">
      <c r="A14" s="268" t="s">
        <v>368</v>
      </c>
      <c r="B14" s="267">
        <v>1</v>
      </c>
      <c r="C14" s="267">
        <v>2</v>
      </c>
      <c r="D14" s="267">
        <v>3</v>
      </c>
      <c r="E14" s="267">
        <v>4</v>
      </c>
      <c r="F14" s="269">
        <v>1</v>
      </c>
      <c r="G14" s="269">
        <v>2</v>
      </c>
      <c r="H14" s="269">
        <v>3</v>
      </c>
      <c r="I14" s="269">
        <v>4</v>
      </c>
      <c r="J14" s="269">
        <v>1</v>
      </c>
      <c r="K14" s="269">
        <v>2</v>
      </c>
      <c r="L14" s="269">
        <v>3</v>
      </c>
      <c r="M14" s="269">
        <v>4</v>
      </c>
      <c r="N14" s="289" t="s">
        <v>384</v>
      </c>
      <c r="O14" s="290" t="s">
        <v>11</v>
      </c>
      <c r="P14" s="290" t="s">
        <v>11</v>
      </c>
      <c r="Q14" s="290" t="s">
        <v>11</v>
      </c>
      <c r="R14" s="291" t="s">
        <v>11</v>
      </c>
      <c r="S14" s="290" t="s">
        <v>11</v>
      </c>
      <c r="T14" s="542">
        <v>17.399999999999999</v>
      </c>
      <c r="W14" s="282">
        <f>SUM(W11:W13)</f>
        <v>2.4303078719947235</v>
      </c>
    </row>
    <row r="15" spans="1:36" ht="42" outlineLevel="1">
      <c r="A15" s="276" t="s">
        <v>372</v>
      </c>
      <c r="B15" s="277">
        <v>0.73</v>
      </c>
      <c r="C15" s="278">
        <v>0</v>
      </c>
      <c r="D15" s="278">
        <v>0</v>
      </c>
      <c r="E15" s="278">
        <v>0</v>
      </c>
      <c r="F15" s="278">
        <v>0.04</v>
      </c>
      <c r="G15" s="278">
        <v>0</v>
      </c>
      <c r="H15" s="278">
        <v>0</v>
      </c>
      <c r="I15" s="278">
        <v>0</v>
      </c>
      <c r="J15" s="278">
        <v>0.04</v>
      </c>
      <c r="K15" s="279">
        <v>0</v>
      </c>
      <c r="L15" s="279">
        <v>5.5608010394595078E-2</v>
      </c>
      <c r="M15" s="279">
        <v>0</v>
      </c>
      <c r="O15" s="292" t="s">
        <v>385</v>
      </c>
      <c r="R15" s="293" t="s">
        <v>386</v>
      </c>
      <c r="U15" s="294" t="s">
        <v>387</v>
      </c>
      <c r="X15" s="292" t="s">
        <v>388</v>
      </c>
      <c r="AB15" s="293" t="s">
        <v>389</v>
      </c>
      <c r="AE15" s="294" t="s">
        <v>390</v>
      </c>
      <c r="AI15" s="295" t="s">
        <v>391</v>
      </c>
    </row>
    <row r="16" spans="1:36" ht="16.5" outlineLevel="1" thickBot="1">
      <c r="A16" s="276" t="s">
        <v>373</v>
      </c>
      <c r="B16" s="277">
        <v>0</v>
      </c>
      <c r="C16" s="278">
        <v>0</v>
      </c>
      <c r="D16" s="278">
        <v>0</v>
      </c>
      <c r="E16" s="278">
        <v>0</v>
      </c>
      <c r="F16" s="278">
        <v>0.43</v>
      </c>
      <c r="G16" s="278">
        <v>0</v>
      </c>
      <c r="H16" s="278">
        <v>0.5</v>
      </c>
      <c r="I16" s="278">
        <v>0</v>
      </c>
      <c r="J16" s="278">
        <v>0.43</v>
      </c>
      <c r="K16" s="279">
        <v>0</v>
      </c>
      <c r="L16" s="279">
        <v>0</v>
      </c>
      <c r="M16" s="279">
        <v>0</v>
      </c>
      <c r="O16" s="292" t="s">
        <v>402</v>
      </c>
      <c r="P16" s="292" t="s">
        <v>403</v>
      </c>
      <c r="R16" s="292" t="s">
        <v>402</v>
      </c>
      <c r="S16" s="292" t="s">
        <v>403</v>
      </c>
      <c r="U16" s="292" t="s">
        <v>402</v>
      </c>
      <c r="V16" s="292" t="s">
        <v>403</v>
      </c>
      <c r="Y16" s="292" t="s">
        <v>402</v>
      </c>
      <c r="Z16" s="292" t="s">
        <v>403</v>
      </c>
      <c r="AB16" s="292" t="s">
        <v>402</v>
      </c>
      <c r="AC16" s="292" t="s">
        <v>403</v>
      </c>
      <c r="AE16" s="292" t="s">
        <v>402</v>
      </c>
      <c r="AF16" s="292" t="s">
        <v>403</v>
      </c>
    </row>
    <row r="17" spans="1:35" ht="16.5" thickBot="1">
      <c r="A17" s="276" t="s">
        <v>374</v>
      </c>
      <c r="B17" s="277">
        <v>0</v>
      </c>
      <c r="C17" s="278">
        <v>0</v>
      </c>
      <c r="D17" s="278">
        <v>0</v>
      </c>
      <c r="E17" s="278">
        <v>0</v>
      </c>
      <c r="F17" s="278">
        <v>0.28000000000000003</v>
      </c>
      <c r="G17" s="278">
        <v>0</v>
      </c>
      <c r="H17" s="278">
        <v>0</v>
      </c>
      <c r="I17" s="278">
        <v>0</v>
      </c>
      <c r="J17" s="278">
        <v>0.28000000000000003</v>
      </c>
      <c r="K17" s="279">
        <v>0</v>
      </c>
      <c r="L17" s="279">
        <v>0.79092999868530911</v>
      </c>
      <c r="M17" s="279">
        <v>0</v>
      </c>
      <c r="N17" s="292" t="s">
        <v>372</v>
      </c>
      <c r="O17" s="296">
        <v>1.0702445504439084</v>
      </c>
      <c r="P17" s="296">
        <f>SUMPRODUCT($B4:$B12,O17:O25)*$U3-O17+1</f>
        <v>8.8817841970012523E-16</v>
      </c>
      <c r="Q17" s="297">
        <v>1.0529999999999999</v>
      </c>
      <c r="R17" s="298">
        <v>2.0890782889715913E-3</v>
      </c>
      <c r="S17" s="296">
        <f>SUMPRODUCT($B4:$B12,R17:R25)*$U3-R17</f>
        <v>7.4593109467002705E-17</v>
      </c>
      <c r="T17" s="297">
        <v>0</v>
      </c>
      <c r="U17" s="299">
        <v>2.7428274248173018E-3</v>
      </c>
      <c r="V17" s="296">
        <f>SUMPRODUCT($B4:$B12,U17:U25)*$U3-U17</f>
        <v>-1.2706849461530112E-16</v>
      </c>
      <c r="W17" s="297">
        <v>2E-3</v>
      </c>
      <c r="X17" s="292" t="s">
        <v>372</v>
      </c>
      <c r="Y17" s="300">
        <v>87.695328702697708</v>
      </c>
      <c r="Z17" s="296">
        <f>SUMPRODUCT($B4:$B12,Y17:Y25)*$U3-Y17+AE3</f>
        <v>1.1510792319313623E-12</v>
      </c>
      <c r="AA17" s="301">
        <f>AE3+AH3</f>
        <v>85.902000000000001</v>
      </c>
      <c r="AB17" s="298">
        <v>0.43577861743910329</v>
      </c>
      <c r="AC17" s="296">
        <f>SUMPRODUCT($B4:$B12,AB17:AB25)*$U3-AB17+AD3+AB3</f>
        <v>0</v>
      </c>
      <c r="AD17" s="302">
        <f>AB3+AI3</f>
        <v>0.42099999999999999</v>
      </c>
      <c r="AE17" s="294">
        <v>1.1311215068169282E-3</v>
      </c>
      <c r="AF17" s="296">
        <f>SUMPRODUCT($B4:$B12,AE17:AE25)*$U3-AE17+AC3</f>
        <v>-2.6020852139652106E-18</v>
      </c>
      <c r="AG17" s="302">
        <f>AC3+AJ3/1000</f>
        <v>1.06E-3</v>
      </c>
      <c r="AH17" s="257">
        <v>0</v>
      </c>
      <c r="AI17" s="303">
        <f>Y17+25*AB17+0.298*AE17</f>
        <v>98.590131212884316</v>
      </c>
    </row>
    <row r="18" spans="1:35" ht="16.5" thickBot="1">
      <c r="A18" s="276" t="s">
        <v>378</v>
      </c>
      <c r="B18" s="277">
        <v>0.08</v>
      </c>
      <c r="C18" s="278">
        <v>0</v>
      </c>
      <c r="D18" s="278">
        <v>0</v>
      </c>
      <c r="E18" s="278">
        <v>0</v>
      </c>
      <c r="F18" s="278">
        <v>0</v>
      </c>
      <c r="G18" s="278">
        <v>0</v>
      </c>
      <c r="H18" s="278">
        <v>0</v>
      </c>
      <c r="I18" s="278">
        <v>0</v>
      </c>
      <c r="J18" s="278">
        <v>0</v>
      </c>
      <c r="K18" s="279">
        <v>0</v>
      </c>
      <c r="L18" s="279">
        <v>3.0320699210673235E-2</v>
      </c>
      <c r="M18" s="279">
        <v>0</v>
      </c>
      <c r="N18" s="292" t="s">
        <v>392</v>
      </c>
      <c r="O18" s="296">
        <v>4.5180817483054178E-2</v>
      </c>
      <c r="P18" s="296">
        <f>SUMPRODUCT($F4:$F12,O17:O25)*$U4-O18</f>
        <v>-9.7144514654701197E-17</v>
      </c>
      <c r="Q18" s="297">
        <v>0.08</v>
      </c>
      <c r="R18" s="298">
        <v>1.0538104109762965</v>
      </c>
      <c r="S18" s="296">
        <f>SUMPRODUCT($F4:$F12,R17:R25)*$U4-R18+1</f>
        <v>0</v>
      </c>
      <c r="T18" s="297">
        <v>1.0109999999999999</v>
      </c>
      <c r="U18" s="299">
        <v>4.8420701656464671E-2</v>
      </c>
      <c r="V18" s="296">
        <f>SUMPRODUCT($F4:$F12,U17:U25)*$U4-U18</f>
        <v>0</v>
      </c>
      <c r="W18" s="297">
        <v>6.4000000000000001E-2</v>
      </c>
      <c r="X18" s="292" t="s">
        <v>392</v>
      </c>
      <c r="Y18" s="300">
        <v>65.710729394379626</v>
      </c>
      <c r="Z18" s="296">
        <f>SUMPRODUCT($F4:$F12,Y17:Y25)*$U4-Y18+AE4</f>
        <v>-1.7763568394002505E-13</v>
      </c>
      <c r="AA18" s="301">
        <f t="shared" ref="AA18:AA24" si="3">AE4+AH4</f>
        <v>67.448999999999998</v>
      </c>
      <c r="AB18" s="298">
        <v>9.59669171691859E-2</v>
      </c>
      <c r="AC18" s="296">
        <f>SUMPRODUCT($F4:$F12,AB17:AB25)*$U4-AB18+AB4+AD4</f>
        <v>0</v>
      </c>
      <c r="AD18" s="302">
        <f t="shared" ref="AD18:AD24" si="4">AB4+AI4</f>
        <v>7.1000000000000008E-2</v>
      </c>
      <c r="AE18" s="294">
        <v>1.4112402266825549E-3</v>
      </c>
      <c r="AF18" s="296">
        <f>SUMPRODUCT($F4:$F12,AE17:AE25)*$U4-AE18+AC4</f>
        <v>0</v>
      </c>
      <c r="AG18" s="302">
        <f t="shared" ref="AG18:AG25" si="5">AC4+AJ4/1000</f>
        <v>1.15E-3</v>
      </c>
      <c r="AH18" s="257">
        <v>0</v>
      </c>
      <c r="AI18" s="303">
        <f t="shared" ref="AI18:AI24" si="6">Y18+25*AB18+0.298*AE18</f>
        <v>68.110322873196822</v>
      </c>
    </row>
    <row r="19" spans="1:35" ht="16.5" thickBot="1">
      <c r="A19" s="276" t="s">
        <v>379</v>
      </c>
      <c r="B19" s="277">
        <v>5.0000000000000001E-3</v>
      </c>
      <c r="C19" s="278">
        <v>0</v>
      </c>
      <c r="D19" s="278">
        <v>0</v>
      </c>
      <c r="E19" s="278">
        <v>0</v>
      </c>
      <c r="F19" s="278">
        <v>0</v>
      </c>
      <c r="G19" s="278">
        <v>0.99</v>
      </c>
      <c r="H19" s="278">
        <v>0</v>
      </c>
      <c r="I19" s="278">
        <v>0</v>
      </c>
      <c r="J19" s="278">
        <v>0</v>
      </c>
      <c r="K19" s="279">
        <v>0</v>
      </c>
      <c r="L19" s="279">
        <v>3.5408723742464003E-2</v>
      </c>
      <c r="M19" s="279">
        <v>0</v>
      </c>
      <c r="N19" s="292" t="s">
        <v>374</v>
      </c>
      <c r="O19" s="296">
        <v>3.1300382004389268E-2</v>
      </c>
      <c r="P19" s="296">
        <f>SUMPRODUCT($J4:$J12,O17:O25)*$U5-O19</f>
        <v>-6.2450045135165055E-17</v>
      </c>
      <c r="Q19" s="297">
        <v>9.7000000000000003E-2</v>
      </c>
      <c r="R19" s="298">
        <v>3.7278794700936674E-2</v>
      </c>
      <c r="S19" s="296">
        <f>SUMPRODUCT($J4:$J12,R17:R25)*$U5-R19</f>
        <v>0</v>
      </c>
      <c r="T19" s="297">
        <v>2.3E-2</v>
      </c>
      <c r="U19" s="299">
        <v>1.0335449100569365</v>
      </c>
      <c r="V19" s="296">
        <f>SUMPRODUCT($J4:$J12,U17:U25)*$U5-U19+1</f>
        <v>0</v>
      </c>
      <c r="W19" s="297">
        <v>1.0469999999999999</v>
      </c>
      <c r="X19" s="292" t="s">
        <v>374</v>
      </c>
      <c r="Y19" s="300">
        <v>78.91344079395634</v>
      </c>
      <c r="Z19" s="296">
        <f>SUMPRODUCT($J4:$J12,Y17:Y25)*$U5-Y19+AE5</f>
        <v>-6.9633188104489818E-13</v>
      </c>
      <c r="AA19" s="301">
        <f t="shared" si="3"/>
        <v>87.86666666666666</v>
      </c>
      <c r="AB19" s="298">
        <v>2.6911028637945936E-2</v>
      </c>
      <c r="AC19" s="296">
        <f>SUMPRODUCT($J4:$J12,AB17:AB25)*$U5-AB19+AB5+AD5</f>
        <v>0</v>
      </c>
      <c r="AD19" s="302">
        <f t="shared" si="4"/>
        <v>5.2000000000000005E-2</v>
      </c>
      <c r="AE19" s="294">
        <v>2.8489914321633102E-4</v>
      </c>
      <c r="AF19" s="296">
        <f>SUMPRODUCT($J4:$J12,AE17:AE25)*$U5-AE19+AC5</f>
        <v>1.3552527156068805E-18</v>
      </c>
      <c r="AG19" s="302">
        <f t="shared" si="5"/>
        <v>1.4999999999999999E-4</v>
      </c>
      <c r="AH19" s="257">
        <v>0</v>
      </c>
      <c r="AI19" s="303">
        <f t="shared" si="6"/>
        <v>79.586301409849668</v>
      </c>
    </row>
    <row r="20" spans="1:35" ht="16.5" thickBot="1">
      <c r="A20" s="276" t="s">
        <v>380</v>
      </c>
      <c r="B20" s="277">
        <v>0.03</v>
      </c>
      <c r="C20" s="278">
        <v>0.78</v>
      </c>
      <c r="D20" s="278">
        <v>0</v>
      </c>
      <c r="E20" s="278">
        <v>0</v>
      </c>
      <c r="F20" s="278">
        <v>0.09</v>
      </c>
      <c r="G20" s="278">
        <v>0</v>
      </c>
      <c r="H20" s="278">
        <v>0</v>
      </c>
      <c r="I20" s="278">
        <v>0</v>
      </c>
      <c r="J20" s="278">
        <v>0.09</v>
      </c>
      <c r="K20" s="279">
        <v>0.03</v>
      </c>
      <c r="L20" s="279">
        <v>2.9341510596920888E-3</v>
      </c>
      <c r="M20" s="279">
        <v>0.10278512525283957</v>
      </c>
      <c r="N20" s="292" t="s">
        <v>378</v>
      </c>
      <c r="O20" s="296">
        <v>1.0725952042692279</v>
      </c>
      <c r="P20" s="296">
        <f>SUMPRODUCT($B15:$B23,O17:O25)*$U6+SUMPRODUCT($C15:$C23,O17:O25)*$V6-O20+1</f>
        <v>0</v>
      </c>
      <c r="Q20" s="297">
        <v>1.0609999999999999</v>
      </c>
      <c r="R20" s="298">
        <v>2.7284813392808517E-3</v>
      </c>
      <c r="S20" s="296">
        <f>SUMPRODUCT($B15:$B23,R17:R25)*$U6+SUMPRODUCT($C15:$C23,R17:R25)*$V6-R20</f>
        <v>6.5485811218124468E-17</v>
      </c>
      <c r="T20" s="297">
        <v>1E-3</v>
      </c>
      <c r="U20" s="299">
        <v>1.4748902545763573E-2</v>
      </c>
      <c r="V20" s="296">
        <f>SUMPRODUCT($B15:$B23,U17:U25)*$U6+SUMPRODUCT($C15:$C23,U17:U25)*$V6-U20</f>
        <v>-9.0205620750793969E-17</v>
      </c>
      <c r="W20" s="297">
        <v>0.11</v>
      </c>
      <c r="X20" s="292" t="s">
        <v>378</v>
      </c>
      <c r="Y20" s="300">
        <v>88.792860797910677</v>
      </c>
      <c r="Z20" s="296">
        <f>SUMPRODUCT($B15:$B23,Y17:Y25)*$U6+SUMPRODUCT($C15:$C23,Y17:Y25)*$V6-Y20+AE6</f>
        <v>5.4001247917767614E-13</v>
      </c>
      <c r="AA20" s="301">
        <f t="shared" si="3"/>
        <v>87.372</v>
      </c>
      <c r="AB20" s="298">
        <v>0.4370024476495683</v>
      </c>
      <c r="AC20" s="296">
        <f>SUMPRODUCT($B15:$B23,AB17:AB25)*$U6+SUMPRODUCT($C15:$C23,AB17:AB25)*$V6-AB20+AB6+AD6</f>
        <v>0</v>
      </c>
      <c r="AD20" s="302">
        <f t="shared" si="4"/>
        <v>0.43099999999999999</v>
      </c>
      <c r="AE20" s="294">
        <v>1.3823713978147727E-3</v>
      </c>
      <c r="AF20" s="296">
        <f>SUMPRODUCT($B15:$B23,AE17:AE25)*$U6+SUMPRODUCT($C15:$C23,AE17:AE25)*$V6-AE20+AC6</f>
        <v>-3.6862873864507151E-18</v>
      </c>
      <c r="AG20" s="302">
        <f t="shared" si="5"/>
        <v>1.15E-3</v>
      </c>
      <c r="AH20" s="257">
        <v>0</v>
      </c>
      <c r="AI20" s="303">
        <f t="shared" si="6"/>
        <v>99.718333935826436</v>
      </c>
    </row>
    <row r="21" spans="1:35" ht="16.5" thickBot="1">
      <c r="A21" s="276" t="s">
        <v>381</v>
      </c>
      <c r="B21" s="277">
        <v>0</v>
      </c>
      <c r="C21" s="278">
        <v>0.08</v>
      </c>
      <c r="D21" s="278">
        <v>0</v>
      </c>
      <c r="E21" s="278">
        <v>0</v>
      </c>
      <c r="F21" s="278">
        <v>0.01</v>
      </c>
      <c r="G21" s="278">
        <v>0</v>
      </c>
      <c r="H21" s="278">
        <v>0</v>
      </c>
      <c r="I21" s="278">
        <v>0</v>
      </c>
      <c r="J21" s="278">
        <v>0.01</v>
      </c>
      <c r="K21" s="279">
        <v>0</v>
      </c>
      <c r="L21" s="279">
        <v>4.545074262962084E-3</v>
      </c>
      <c r="M21" s="279">
        <v>5.7569628131320992E-4</v>
      </c>
      <c r="N21" s="292" t="s">
        <v>379</v>
      </c>
      <c r="O21" s="296">
        <v>4.5458234680092517E-2</v>
      </c>
      <c r="P21" s="296">
        <f>SUMPRODUCT($F15:$F23,O17:O25)*$U7+SUMPRODUCT($G15:$G23,O17:O25)*$V7-O21</f>
        <v>-1.2490009027033011E-16</v>
      </c>
      <c r="Q21" s="297">
        <v>8.1000000000000003E-2</v>
      </c>
      <c r="R21" s="298">
        <v>1.0580245317407337</v>
      </c>
      <c r="S21" s="296">
        <f>SUMPRODUCT($F15:$F23,R17:R25)*$U7+SUMPRODUCT($G15:$G23,R17:R25)*$V7-R21+1</f>
        <v>0</v>
      </c>
      <c r="T21" s="297">
        <v>1.0149999999999999</v>
      </c>
      <c r="U21" s="299">
        <v>4.8616730196789741E-2</v>
      </c>
      <c r="V21" s="296">
        <f>SUMPRODUCT($F15:$F23,U17:U25)*$U7+SUMPRODUCT($G15:$G23,U17:U25)*$V7-U21</f>
        <v>-4.0939474033052647E-16</v>
      </c>
      <c r="W21" s="297">
        <v>6.5000000000000002E-2</v>
      </c>
      <c r="X21" s="292" t="s">
        <v>379</v>
      </c>
      <c r="Y21" s="300">
        <v>67.439384034226464</v>
      </c>
      <c r="Z21" s="296">
        <f>SUMPRODUCT($F15:$F23,Y17:Y25)*$U7+SUMPRODUCT($G15:$G23,Y17:Y25)*$V7-Y21+AE7</f>
        <v>-1.9184653865522705E-13</v>
      </c>
      <c r="AA21" s="301">
        <f t="shared" si="3"/>
        <v>70.530999999999992</v>
      </c>
      <c r="AB21" s="298">
        <v>9.6390091746589926E-2</v>
      </c>
      <c r="AC21" s="296">
        <f>SUMPRODUCT($F15:$F23,AB17:AB25)*$U7+SUMPRODUCT($G15:$G23,AB17:AB25)*$V7-AB21+AB7+AD7</f>
        <v>0</v>
      </c>
      <c r="AD21" s="302">
        <f t="shared" si="4"/>
        <v>0.111</v>
      </c>
      <c r="AE21" s="294">
        <v>1.4170082865155201E-3</v>
      </c>
      <c r="AF21" s="296">
        <f>SUMPRODUCT($F15:$F23,AE17:AE25)*$U7+SUMPRODUCT($G15:$G23,AE17:AE25)*$V7-AE21+AC7</f>
        <v>-2.6020852139652106E-18</v>
      </c>
      <c r="AG21" s="302">
        <f t="shared" si="5"/>
        <v>1.15E-3</v>
      </c>
      <c r="AH21" s="257">
        <v>0</v>
      </c>
      <c r="AI21" s="303">
        <f t="shared" si="6"/>
        <v>69.849558596360595</v>
      </c>
    </row>
    <row r="22" spans="1:35" ht="16.5" thickBot="1">
      <c r="A22" s="276" t="s">
        <v>382</v>
      </c>
      <c r="B22" s="277">
        <v>0</v>
      </c>
      <c r="C22" s="278">
        <v>0.08</v>
      </c>
      <c r="D22" s="278">
        <v>0</v>
      </c>
      <c r="E22" s="278">
        <v>0</v>
      </c>
      <c r="F22" s="278">
        <v>0.01</v>
      </c>
      <c r="G22" s="278">
        <v>0</v>
      </c>
      <c r="H22" s="278">
        <v>0</v>
      </c>
      <c r="I22" s="278">
        <v>0</v>
      </c>
      <c r="J22" s="278">
        <v>0.01</v>
      </c>
      <c r="K22" s="279">
        <v>0.72</v>
      </c>
      <c r="L22" s="279">
        <v>2.0938586860944974E-2</v>
      </c>
      <c r="M22" s="279">
        <v>0.72817799906643843</v>
      </c>
      <c r="N22" s="292" t="s">
        <v>380</v>
      </c>
      <c r="O22" s="296">
        <v>7.2286083298277556E-2</v>
      </c>
      <c r="P22" s="296">
        <f>SUMPRODUCT($J15:$J23,O17:O25)*$U8+SUMPRODUCT($K15:$K23,O17:O25)*$V8+SUMPRODUCT($L15:$L23,O17:O25)*$W8+SUMPRODUCT($M15:$M23,O17:O25)*$X8-O22</f>
        <v>1.6653345369377348E-16</v>
      </c>
      <c r="Q22" s="297">
        <v>0.156</v>
      </c>
      <c r="R22" s="298">
        <v>4.9578985063534531E-2</v>
      </c>
      <c r="S22" s="296">
        <f>SUMPRODUCT($J15:$J23,R17:R25)*$U8+SUMPRODUCT($K15:$K23,R17:R25)*$V8+SUMPRODUCT($L15:$L23,R17:R25)*$W8+SUMPRODUCT($M15:$M23,R17:R25)*$X8-R22</f>
        <v>0</v>
      </c>
      <c r="T22" s="297">
        <v>2.7E-2</v>
      </c>
      <c r="U22" s="304">
        <v>1.1472286156546083</v>
      </c>
      <c r="V22" s="296">
        <f>SUMPRODUCT($J15:$J23,U17:U25)*$U8+SUMPRODUCT($K15:$K23,U17:U25)*$V8+SUMPRODUCT($L15:$L23,U17:U25)*$W8+SUMPRODUCT($M15:$M23,U17:U25)*$X8-U22+1</f>
        <v>3.1086244689504383E-15</v>
      </c>
      <c r="W22" s="297">
        <v>1.119</v>
      </c>
      <c r="X22" s="292" t="s">
        <v>380</v>
      </c>
      <c r="Y22" s="300">
        <v>91.89694400968402</v>
      </c>
      <c r="Z22" s="296">
        <f>SUMPRODUCT($J15:$J23,Y17:Y25)*$U8+SUMPRODUCT($K15:$K23,Y17:Y25)*$V8+SUMPRODUCT($L15:$L23,Y17:Y25)*$W8+SUMPRODUCT($M15:$M23,Y17:Y25)*$X8-Y22+AE8</f>
        <v>2.1742607714259066E-12</v>
      </c>
      <c r="AA22" s="301">
        <f t="shared" si="3"/>
        <v>100.87533333333332</v>
      </c>
      <c r="AB22" s="298">
        <v>4.780071252876382E-2</v>
      </c>
      <c r="AC22" s="296">
        <f>SUMPRODUCT($J15:$J23,AB17:AB25)*$U8+SUMPRODUCT($K15:$K23,AB17:AB25)*$V8+SUMPRODUCT($L15:$L23,AB17:AB25)*$W8+SUMPRODUCT($M15:$M23,AB17:AB25)*$X8-AB22+AB8+AD8</f>
        <v>7.8062556418956319E-17</v>
      </c>
      <c r="AD22" s="302">
        <f t="shared" si="4"/>
        <v>8.4000000000000005E-2</v>
      </c>
      <c r="AE22" s="294">
        <v>2.8417689025255922E-2</v>
      </c>
      <c r="AF22" s="296">
        <f>SUMPRODUCT($J15:$J23,AE17:AE25)*$U8+SUMPRODUCT($K15:$K23,AE17:AE25)*$V8+SUMPRODUCT($L15:$L23,AE17:AE25)*$W8+SUMPRODUCT($M15:$M23,AE17:AE25)*$X8-AE22+AC8</f>
        <v>0</v>
      </c>
      <c r="AG22" s="302">
        <f>AC8+AJ8/1000</f>
        <v>2.8150000000000001E-2</v>
      </c>
      <c r="AH22" s="257">
        <v>0</v>
      </c>
      <c r="AI22" s="303">
        <f t="shared" si="6"/>
        <v>93.100430294232638</v>
      </c>
    </row>
    <row r="23" spans="1:35" ht="16.5" thickBot="1">
      <c r="A23" s="285" t="s">
        <v>383</v>
      </c>
      <c r="B23" s="286">
        <v>0.15</v>
      </c>
      <c r="C23" s="287">
        <v>0.06</v>
      </c>
      <c r="D23" s="287">
        <v>0</v>
      </c>
      <c r="E23" s="287">
        <v>0</v>
      </c>
      <c r="F23" s="287">
        <v>0.14000000000000001</v>
      </c>
      <c r="G23" s="287">
        <v>0.01</v>
      </c>
      <c r="H23" s="287">
        <v>0.5</v>
      </c>
      <c r="I23" s="287">
        <v>0</v>
      </c>
      <c r="J23" s="287">
        <v>0.14000000000000001</v>
      </c>
      <c r="K23" s="288">
        <v>0.25</v>
      </c>
      <c r="L23" s="288">
        <v>5.9314755783359423E-2</v>
      </c>
      <c r="M23" s="288">
        <v>0.16846117939940874</v>
      </c>
      <c r="N23" s="292" t="s">
        <v>381</v>
      </c>
      <c r="O23" s="296">
        <v>7.4260045413688622E-2</v>
      </c>
      <c r="P23" s="296">
        <f>SUMPRODUCT($B26:$B34,O17:O25)*$U9+SUMPRODUCT($C26:$C34,O17:O25)*$V9+SUMPRODUCT($D26:$D34,O17:O25)*$W9+SUMPRODUCT($E26:$E34,O17:O25)*$X9-O23</f>
        <v>0</v>
      </c>
      <c r="Q23" s="297">
        <v>0.16400000000000001</v>
      </c>
      <c r="R23" s="298">
        <v>5.0176246572035947E-2</v>
      </c>
      <c r="S23" s="296">
        <f>SUMPRODUCT($B26:$B34,R17:R25)*$U9+SUMPRODUCT($C26:$C34,R17:R25)*$V9+SUMPRODUCT($D26:$D34,R17:R25)*$W9+SUMPRODUCT($E26:$E34,R17:R25)*$X9-R23</f>
        <v>0</v>
      </c>
      <c r="T23" s="297">
        <v>4.9000000000000002E-2</v>
      </c>
      <c r="U23" s="304">
        <v>1.1536512570529016</v>
      </c>
      <c r="V23" s="296">
        <f>SUMPRODUCT($B26:$B34,U17:U25)*$U9+SUMPRODUCT($C26:$C34,U17:U25)*$V9+SUMPRODUCT($D26:$D34,U17:U25)*$W9+SUMPRODUCT($E26:$E34,U17:U25)*$X9-U23+1</f>
        <v>1.1102230246251565E-15</v>
      </c>
      <c r="W23" s="297">
        <v>1.1299999999999999</v>
      </c>
      <c r="X23" s="292" t="s">
        <v>381</v>
      </c>
      <c r="Y23" s="300">
        <v>87.882655815487354</v>
      </c>
      <c r="Z23" s="296">
        <f>SUMPRODUCT($B26:$B34,Y17:Y25)*$U9+SUMPRODUCT($C26:$C34,Y17:Y25)*$V9+SUMPRODUCT($D26:$D34,Y17:Y25)*$W9+SUMPRODUCT($E26:$E34,Y17:Y25)*$X9-Y23+AE9</f>
        <v>-8.6686213762732223E-13</v>
      </c>
      <c r="AA23" s="301">
        <f t="shared" si="3"/>
        <v>98.424000000000007</v>
      </c>
      <c r="AB23" s="298">
        <v>0.12472173975653571</v>
      </c>
      <c r="AC23" s="296">
        <f>SUMPRODUCT($B26:$B34,AB17:AB25)*$U9+SUMPRODUCT($C26:$C34,AB17:AB25)*$V9+SUMPRODUCT($D26:$D34,AB17:AB25)*$W9+SUMPRODUCT($E26:$E34,AB17:AB25)*$X9-AB23+AB9+AD9</f>
        <v>3.2959746043559335E-17</v>
      </c>
      <c r="AD23" s="302">
        <f t="shared" si="4"/>
        <v>0.16999999999999998</v>
      </c>
      <c r="AE23" s="294">
        <v>2.4227986199632139E-3</v>
      </c>
      <c r="AF23" s="296">
        <f>SUMPRODUCT($B26:$B34,AE17:AE25)*$U9+SUMPRODUCT($C26:$C34,AE17:AE25)*$V9+SUMPRODUCT($D26:$D34,AE17:AE25)*$W9+SUMPRODUCT($E26:$E34,AE17:AE25)*$X9-AE23+AC9</f>
        <v>1.2576745200831851E-17</v>
      </c>
      <c r="AG23" s="302">
        <f t="shared" si="5"/>
        <v>2.15E-3</v>
      </c>
      <c r="AH23" s="257">
        <v>0</v>
      </c>
      <c r="AI23" s="303">
        <f t="shared" si="6"/>
        <v>91.001421303389492</v>
      </c>
    </row>
    <row r="24" spans="1:35" ht="17.25" thickTop="1" thickBot="1">
      <c r="A24" s="262" t="s">
        <v>371</v>
      </c>
      <c r="B24" s="728" t="s">
        <v>381</v>
      </c>
      <c r="C24" s="728"/>
      <c r="D24" s="728"/>
      <c r="E24" s="728"/>
      <c r="F24" s="728" t="s">
        <v>382</v>
      </c>
      <c r="G24" s="728"/>
      <c r="H24" s="728"/>
      <c r="I24" s="728"/>
      <c r="J24" s="728" t="s">
        <v>393</v>
      </c>
      <c r="K24" s="728"/>
      <c r="L24" s="728"/>
      <c r="M24" s="728"/>
      <c r="N24" s="292" t="s">
        <v>382</v>
      </c>
      <c r="O24" s="296">
        <v>5.7272768689944228E-2</v>
      </c>
      <c r="P24" s="296">
        <f>SUMPRODUCT($F26:$F34,O17:O25)*$U10+SUMPRODUCT($G26:$G34,O17:O25)*$V10+SUMPRODUCT($H26:$H34,O17:O25)*$W10+SUMPRODUCT($I26:$I34,O17:O25)*$X10-O24</f>
        <v>0</v>
      </c>
      <c r="Q24" s="297">
        <v>0.13900000000000001</v>
      </c>
      <c r="R24" s="298">
        <v>4.4646692164637548E-2</v>
      </c>
      <c r="S24" s="296">
        <f>SUMPRODUCT($F26:$F34,R17:R25)*$U10+SUMPRODUCT($G26:$G34,R17:R25)*$V10+SUMPRODUCT($H26:$H34,R17:R25)*$W10+SUMPRODUCT($I26:$I34,R17:R25)*$X10-R24</f>
        <v>0</v>
      </c>
      <c r="T24" s="297">
        <v>2.5999999999999999E-2</v>
      </c>
      <c r="U24" s="304">
        <v>1.1030202107445195</v>
      </c>
      <c r="V24" s="296">
        <f>SUMPRODUCT($F26:$F34,U17:U25)*$U10+SUMPRODUCT($G26:$G34,U17:U25)*$V10+SUMPRODUCT($H26:$H34,U17:U25)*$W10+SUMPRODUCT($I26:$I34,U17:U25)*$X10-U24+1</f>
        <v>3.4861002973229915E-14</v>
      </c>
      <c r="W24" s="297">
        <v>1.0549999999999999</v>
      </c>
      <c r="X24" s="292" t="s">
        <v>382</v>
      </c>
      <c r="Y24" s="300">
        <v>90.447417043030526</v>
      </c>
      <c r="Z24" s="296">
        <f>SUMPRODUCT($F26:$F34,Y17:Y25)*$U10+SUMPRODUCT($G26:$G34,Y17:Y25)*$V10+SUMPRODUCT($H26:$H34,Y17:Y25)*$W10+SUMPRODUCT($I26:$I34,Y17:Y25)*$X10-Y24+AE10</f>
        <v>-1.7053025658242404E-12</v>
      </c>
      <c r="AA24" s="301">
        <f t="shared" si="3"/>
        <v>101.14933333333333</v>
      </c>
      <c r="AB24" s="298">
        <v>3.8818662876948136E-2</v>
      </c>
      <c r="AC24" s="296">
        <f>SUMPRODUCT($F26:$F34,AB17:AB25)*$U10+SUMPRODUCT($G26:$G34,AB17:AB25)*$V10+SUMPRODUCT($H26:$H34,AB17:AB25)*$W10+SUMPRODUCT($I26:$I34,AB17:AB25)*$X10-AB24+AB10+AD10</f>
        <v>-1.3877787807814457E-17</v>
      </c>
      <c r="AD24" s="302">
        <f t="shared" si="4"/>
        <v>7.2000000000000008E-2</v>
      </c>
      <c r="AE24" s="294">
        <v>3.696974098112914E-4</v>
      </c>
      <c r="AF24" s="296">
        <f>SUMPRODUCT($F26:$F34,AE17:AE25)*$U10+SUMPRODUCT($G26:$G34,AE17:AE25)*$V10+SUMPRODUCT($H26:$H34,AE17:AE25)*$W10+SUMPRODUCT($I26:$I34,AE17:AE25)*$X10-AE24+AC10</f>
        <v>4.3368086899420177E-19</v>
      </c>
      <c r="AG24" s="302">
        <f t="shared" si="5"/>
        <v>1.4999999999999999E-4</v>
      </c>
      <c r="AH24" s="257">
        <v>0</v>
      </c>
      <c r="AI24" s="303">
        <f t="shared" si="6"/>
        <v>91.417993784782354</v>
      </c>
    </row>
    <row r="25" spans="1:35" ht="16.5" thickBot="1">
      <c r="A25" s="268" t="s">
        <v>368</v>
      </c>
      <c r="B25" s="267">
        <v>1</v>
      </c>
      <c r="C25" s="267">
        <v>2</v>
      </c>
      <c r="D25" s="267">
        <v>3</v>
      </c>
      <c r="E25" s="267">
        <v>4</v>
      </c>
      <c r="F25" s="267">
        <v>1</v>
      </c>
      <c r="G25" s="267">
        <v>2</v>
      </c>
      <c r="H25" s="267">
        <v>3</v>
      </c>
      <c r="I25" s="267">
        <v>4</v>
      </c>
      <c r="J25" s="267">
        <v>1</v>
      </c>
      <c r="K25" s="267">
        <v>2</v>
      </c>
      <c r="L25" s="267">
        <v>3</v>
      </c>
      <c r="M25" s="267">
        <v>4</v>
      </c>
      <c r="N25" s="292" t="s">
        <v>383</v>
      </c>
      <c r="O25" s="296">
        <v>2.4073229729246317</v>
      </c>
      <c r="P25" s="296">
        <f>SUMPRODUCT($L26:$L34,O17:O25)*W14-O25</f>
        <v>0</v>
      </c>
      <c r="Q25" s="297">
        <v>2.5720000000000001</v>
      </c>
      <c r="R25" s="298">
        <v>0.18717839215522458</v>
      </c>
      <c r="S25" s="296">
        <f>SUMPRODUCT($L26:$L34,R17:R25)*W14-R25</f>
        <v>0</v>
      </c>
      <c r="T25" s="297">
        <v>2.1000000000000001E-2</v>
      </c>
      <c r="U25" s="299">
        <v>6.8054364602401593E-2</v>
      </c>
      <c r="V25" s="296">
        <f>SUMPRODUCT($L26:$L34,U17:U25)*W14-U25</f>
        <v>4.163336342344337E-16</v>
      </c>
      <c r="W25" s="297">
        <v>0.33</v>
      </c>
      <c r="X25" s="292" t="s">
        <v>383</v>
      </c>
      <c r="Y25" s="305">
        <v>212.201512797639</v>
      </c>
      <c r="Z25" s="296">
        <f>SUMPRODUCT($L26:$L34,Y17:Y25)*W14-Y25</f>
        <v>0</v>
      </c>
      <c r="AA25" s="301">
        <f>AE11+AH11</f>
        <v>273.31</v>
      </c>
      <c r="AB25" s="298">
        <v>0.99442789444789459</v>
      </c>
      <c r="AC25" s="296">
        <f>SUMPRODUCT($L26:$L34,AB17:AB25)*W14-AB25</f>
        <v>0</v>
      </c>
      <c r="AD25" s="302">
        <f>AI11</f>
        <v>1.01</v>
      </c>
      <c r="AE25" s="294">
        <v>3.3408694757104565E-3</v>
      </c>
      <c r="AF25" s="296">
        <f>SUMPRODUCT($L26:$L34,AE17:AE25)*W14-AE25+AC11</f>
        <v>2.1684043449710089E-18</v>
      </c>
      <c r="AG25" s="302">
        <f t="shared" si="5"/>
        <v>1.4999999999999999E-4</v>
      </c>
      <c r="AH25" s="257">
        <v>0</v>
      </c>
      <c r="AI25" s="303">
        <f>Y25+25*AB25+0.298*AE25</f>
        <v>237.06320573794014</v>
      </c>
    </row>
    <row r="26" spans="1:35" ht="54">
      <c r="A26" s="276" t="s">
        <v>372</v>
      </c>
      <c r="B26" s="277">
        <v>0.04</v>
      </c>
      <c r="C26" s="278">
        <v>0</v>
      </c>
      <c r="D26" s="278">
        <v>5.5608010394595078E-2</v>
      </c>
      <c r="E26" s="278">
        <v>0</v>
      </c>
      <c r="F26" s="278">
        <v>0.04</v>
      </c>
      <c r="G26" s="278">
        <v>0</v>
      </c>
      <c r="H26" s="278">
        <v>5.5608010394595078E-2</v>
      </c>
      <c r="I26" s="278">
        <v>0</v>
      </c>
      <c r="J26" s="278">
        <v>0</v>
      </c>
      <c r="K26" s="279">
        <v>0</v>
      </c>
      <c r="L26" s="279">
        <v>0</v>
      </c>
      <c r="M26" s="279">
        <v>0</v>
      </c>
      <c r="W26" s="257" t="s">
        <v>394</v>
      </c>
      <c r="Y26" s="306" t="s">
        <v>395</v>
      </c>
      <c r="Z26" s="306" t="s">
        <v>396</v>
      </c>
      <c r="AA26" s="306" t="s">
        <v>397</v>
      </c>
      <c r="AB26" s="306" t="s">
        <v>398</v>
      </c>
      <c r="AD26" s="312" t="s">
        <v>400</v>
      </c>
      <c r="AE26" s="312" t="s">
        <v>401</v>
      </c>
    </row>
    <row r="27" spans="1:35" ht="15.75">
      <c r="A27" s="276" t="s">
        <v>373</v>
      </c>
      <c r="B27" s="277">
        <v>0.43</v>
      </c>
      <c r="C27" s="278">
        <v>0</v>
      </c>
      <c r="D27" s="278">
        <v>0</v>
      </c>
      <c r="E27" s="278">
        <v>0</v>
      </c>
      <c r="F27" s="278">
        <v>0.43</v>
      </c>
      <c r="G27" s="278">
        <v>0</v>
      </c>
      <c r="H27" s="278">
        <v>0</v>
      </c>
      <c r="I27" s="278">
        <v>0</v>
      </c>
      <c r="J27" s="278">
        <v>0</v>
      </c>
      <c r="K27" s="279">
        <v>0</v>
      </c>
      <c r="L27" s="279">
        <v>0</v>
      </c>
      <c r="M27" s="279">
        <v>0</v>
      </c>
      <c r="V27" s="257" t="str">
        <f t="shared" ref="V27:V35" si="7">X17</f>
        <v>原煤</v>
      </c>
      <c r="W27" s="307">
        <f>O17+R17+U17</f>
        <v>1.0750764561576973</v>
      </c>
      <c r="Y27" s="296">
        <f>Y17-AE3</f>
        <v>6.0533287026977121</v>
      </c>
      <c r="Z27" s="300">
        <f>AI17-AE3</f>
        <v>16.94813121288432</v>
      </c>
      <c r="AA27" s="308">
        <f>Y27/AE3</f>
        <v>7.4144787029932047E-2</v>
      </c>
      <c r="AB27" s="308">
        <f>Z27/AE3</f>
        <v>0.20759083820685825</v>
      </c>
      <c r="AD27" s="309">
        <f>AB17-AB3</f>
        <v>0.43477861743910329</v>
      </c>
      <c r="AE27" s="310">
        <f>(AE17-AC3)*1000</f>
        <v>0.13112150681692816</v>
      </c>
    </row>
    <row r="28" spans="1:35" ht="15.75">
      <c r="A28" s="276" t="s">
        <v>374</v>
      </c>
      <c r="B28" s="277">
        <v>0.28000000000000003</v>
      </c>
      <c r="C28" s="278">
        <v>0</v>
      </c>
      <c r="D28" s="278">
        <v>0.79092999868530911</v>
      </c>
      <c r="E28" s="278">
        <v>0</v>
      </c>
      <c r="F28" s="278">
        <v>0.28000000000000003</v>
      </c>
      <c r="G28" s="278">
        <v>0</v>
      </c>
      <c r="H28" s="278">
        <v>0.79092999868530911</v>
      </c>
      <c r="I28" s="278">
        <v>0</v>
      </c>
      <c r="J28" s="278">
        <v>0</v>
      </c>
      <c r="K28" s="279">
        <v>0</v>
      </c>
      <c r="L28" s="279">
        <v>0</v>
      </c>
      <c r="M28" s="279">
        <v>0</v>
      </c>
      <c r="V28" s="257" t="str">
        <f t="shared" si="7"/>
        <v>原气</v>
      </c>
      <c r="W28" s="307">
        <f>O18+R18+U18</f>
        <v>1.1474119301158152</v>
      </c>
      <c r="Y28" s="296">
        <f t="shared" ref="Y28:Y34" si="8">Y18-AE4</f>
        <v>10.171729394379625</v>
      </c>
      <c r="Z28" s="300">
        <f>AI18-AE4</f>
        <v>12.57132287319682</v>
      </c>
      <c r="AA28" s="308">
        <f t="shared" ref="AA28:AA34" si="9">Y28/AE4</f>
        <v>0.18314570651937601</v>
      </c>
      <c r="AB28" s="308">
        <f t="shared" ref="AB28:AB33" si="10">Z28/AE4</f>
        <v>0.22635126439433226</v>
      </c>
      <c r="AD28" s="309">
        <f t="shared" ref="AD28:AD35" si="11">AB18-AB4</f>
        <v>9.4966917169185899E-2</v>
      </c>
      <c r="AE28" s="310">
        <f t="shared" ref="AE28:AE35" si="12">(AE18-AC4)*1000</f>
        <v>0.41124022668255489</v>
      </c>
    </row>
    <row r="29" spans="1:35" ht="15.75">
      <c r="A29" s="276" t="s">
        <v>378</v>
      </c>
      <c r="B29" s="277">
        <v>0</v>
      </c>
      <c r="C29" s="278">
        <v>0</v>
      </c>
      <c r="D29" s="278">
        <v>3.0320699210673235E-2</v>
      </c>
      <c r="E29" s="278">
        <v>0</v>
      </c>
      <c r="F29" s="278">
        <v>0</v>
      </c>
      <c r="G29" s="278">
        <v>0</v>
      </c>
      <c r="H29" s="278">
        <v>3.0320699210673235E-2</v>
      </c>
      <c r="I29" s="278">
        <v>0</v>
      </c>
      <c r="J29" s="278">
        <v>0</v>
      </c>
      <c r="K29" s="279">
        <v>0</v>
      </c>
      <c r="L29" s="279">
        <v>0.92</v>
      </c>
      <c r="M29" s="279">
        <v>0</v>
      </c>
      <c r="V29" s="257" t="str">
        <f t="shared" si="7"/>
        <v>原油</v>
      </c>
      <c r="W29" s="307">
        <f t="shared" ref="W29:W35" si="13">O19+R19+U19</f>
        <v>1.1021240867622624</v>
      </c>
      <c r="Y29" s="296">
        <f t="shared" si="8"/>
        <v>7.0467741272896802</v>
      </c>
      <c r="Z29" s="300">
        <f t="shared" ref="Z29:Z34" si="14">AI19-AE5</f>
        <v>7.7196347431830077</v>
      </c>
      <c r="AA29" s="308">
        <f t="shared" si="9"/>
        <v>9.8053443329633783E-2</v>
      </c>
      <c r="AB29" s="308">
        <f t="shared" si="10"/>
        <v>0.10741606785505113</v>
      </c>
      <c r="AD29" s="309">
        <f t="shared" si="11"/>
        <v>2.4911028637945934E-2</v>
      </c>
      <c r="AE29" s="310">
        <f t="shared" si="12"/>
        <v>0.28489914321633103</v>
      </c>
    </row>
    <row r="30" spans="1:35" ht="15.75">
      <c r="A30" s="276" t="s">
        <v>379</v>
      </c>
      <c r="B30" s="277">
        <v>0</v>
      </c>
      <c r="C30" s="278">
        <v>0</v>
      </c>
      <c r="D30" s="278">
        <v>3.5408723742464003E-2</v>
      </c>
      <c r="E30" s="278">
        <v>0</v>
      </c>
      <c r="F30" s="278">
        <v>0</v>
      </c>
      <c r="G30" s="278">
        <v>0</v>
      </c>
      <c r="H30" s="278">
        <v>3.5408723742464003E-2</v>
      </c>
      <c r="I30" s="278">
        <v>0</v>
      </c>
      <c r="J30" s="278">
        <v>0</v>
      </c>
      <c r="K30" s="279">
        <v>0</v>
      </c>
      <c r="L30" s="279">
        <v>7.0000000000000007E-2</v>
      </c>
      <c r="M30" s="279">
        <v>0</v>
      </c>
      <c r="V30" s="257" t="str">
        <f t="shared" si="7"/>
        <v>精煤</v>
      </c>
      <c r="W30" s="307">
        <f t="shared" si="13"/>
        <v>1.0900725881542725</v>
      </c>
      <c r="Y30" s="296">
        <f t="shared" si="8"/>
        <v>7.1508607979106813</v>
      </c>
      <c r="Z30" s="300">
        <f t="shared" si="14"/>
        <v>18.07633393582644</v>
      </c>
      <c r="AA30" s="308">
        <f t="shared" si="9"/>
        <v>8.7588015946579972E-2</v>
      </c>
      <c r="AB30" s="308">
        <f t="shared" si="10"/>
        <v>0.22140973929872421</v>
      </c>
      <c r="AD30" s="309">
        <f t="shared" si="11"/>
        <v>0.4360024476495683</v>
      </c>
      <c r="AE30" s="310">
        <f t="shared" si="12"/>
        <v>0.3823713978147727</v>
      </c>
    </row>
    <row r="31" spans="1:35" ht="15.75">
      <c r="A31" s="276" t="s">
        <v>380</v>
      </c>
      <c r="B31" s="277">
        <v>0.09</v>
      </c>
      <c r="C31" s="278">
        <v>0.03</v>
      </c>
      <c r="D31" s="278">
        <v>2.9341510596920888E-3</v>
      </c>
      <c r="E31" s="278">
        <v>0.10278512525283957</v>
      </c>
      <c r="F31" s="278">
        <v>0.09</v>
      </c>
      <c r="G31" s="278">
        <v>0.03</v>
      </c>
      <c r="H31" s="278">
        <v>2.9341510596920888E-3</v>
      </c>
      <c r="I31" s="278">
        <v>6.2476651193165741E-2</v>
      </c>
      <c r="J31" s="278">
        <v>0</v>
      </c>
      <c r="K31" s="279">
        <v>0</v>
      </c>
      <c r="L31" s="279">
        <v>0</v>
      </c>
      <c r="M31" s="279">
        <v>0</v>
      </c>
      <c r="V31" s="257" t="str">
        <f t="shared" si="7"/>
        <v>精制天然气</v>
      </c>
      <c r="W31" s="307">
        <f t="shared" si="13"/>
        <v>1.1520994966176159</v>
      </c>
      <c r="Y31" s="296">
        <f t="shared" si="8"/>
        <v>10.448384034226471</v>
      </c>
      <c r="Z31" s="300">
        <f t="shared" si="14"/>
        <v>12.858558596360602</v>
      </c>
      <c r="AA31" s="308">
        <f t="shared" si="9"/>
        <v>0.18333393051931837</v>
      </c>
      <c r="AB31" s="308">
        <f t="shared" si="10"/>
        <v>0.22562437220544654</v>
      </c>
      <c r="AD31" s="309">
        <f t="shared" si="11"/>
        <v>9.5390091746589925E-2</v>
      </c>
      <c r="AE31" s="310">
        <f t="shared" si="12"/>
        <v>0.41700828651552002</v>
      </c>
    </row>
    <row r="32" spans="1:35" ht="15.75">
      <c r="A32" s="276" t="s">
        <v>381</v>
      </c>
      <c r="B32" s="277">
        <v>0.01</v>
      </c>
      <c r="C32" s="278">
        <v>0</v>
      </c>
      <c r="D32" s="278">
        <v>4.545074262962084E-3</v>
      </c>
      <c r="E32" s="278">
        <v>5.7569628131320992E-4</v>
      </c>
      <c r="F32" s="278">
        <v>0.01</v>
      </c>
      <c r="G32" s="278">
        <v>0</v>
      </c>
      <c r="H32" s="278">
        <v>4.545074262962084E-3</v>
      </c>
      <c r="I32" s="278">
        <v>3.4992977507525475E-4</v>
      </c>
      <c r="J32" s="278">
        <v>0</v>
      </c>
      <c r="K32" s="279">
        <v>0</v>
      </c>
      <c r="L32" s="279">
        <v>0</v>
      </c>
      <c r="M32" s="279">
        <v>0</v>
      </c>
      <c r="V32" s="257" t="str">
        <f t="shared" si="7"/>
        <v>柴油</v>
      </c>
      <c r="W32" s="307">
        <f t="shared" si="13"/>
        <v>1.2690936840164204</v>
      </c>
      <c r="Y32" s="296">
        <f>Y22-AE8</f>
        <v>19.311610676350696</v>
      </c>
      <c r="Z32" s="300">
        <f t="shared" si="14"/>
        <v>20.515096960899314</v>
      </c>
      <c r="AA32" s="308">
        <f t="shared" si="9"/>
        <v>0.26605389531885276</v>
      </c>
      <c r="AB32" s="308">
        <f t="shared" si="10"/>
        <v>0.28263419094168679</v>
      </c>
      <c r="AD32" s="309">
        <f t="shared" si="11"/>
        <v>4.3800712528763816E-2</v>
      </c>
      <c r="AE32" s="310">
        <f t="shared" si="12"/>
        <v>0.41768902525592122</v>
      </c>
    </row>
    <row r="33" spans="1:31" ht="15.75">
      <c r="A33" s="276" t="s">
        <v>382</v>
      </c>
      <c r="B33" s="277">
        <v>0.01</v>
      </c>
      <c r="C33" s="278">
        <v>0.72</v>
      </c>
      <c r="D33" s="278">
        <v>2.0938586860944974E-2</v>
      </c>
      <c r="E33" s="278">
        <v>0.72817799906643843</v>
      </c>
      <c r="F33" s="278">
        <v>0.01</v>
      </c>
      <c r="G33" s="278">
        <v>0.72</v>
      </c>
      <c r="H33" s="278">
        <v>2.0938586860944974E-2</v>
      </c>
      <c r="I33" s="278">
        <v>0.83477640079554871</v>
      </c>
      <c r="J33" s="278">
        <v>0</v>
      </c>
      <c r="K33" s="279">
        <v>0</v>
      </c>
      <c r="L33" s="279">
        <v>0.01</v>
      </c>
      <c r="M33" s="279">
        <v>0</v>
      </c>
      <c r="V33" s="257" t="str">
        <f t="shared" si="7"/>
        <v>汽油</v>
      </c>
      <c r="W33" s="307">
        <f>O23+R23+U23</f>
        <v>1.2780875490386261</v>
      </c>
      <c r="Y33" s="296">
        <f t="shared" si="8"/>
        <v>19.968655815487352</v>
      </c>
      <c r="Z33" s="300">
        <f t="shared" si="14"/>
        <v>23.08742130338949</v>
      </c>
      <c r="AA33" s="308">
        <f t="shared" si="9"/>
        <v>0.29402856282191231</v>
      </c>
      <c r="AB33" s="308">
        <f t="shared" si="10"/>
        <v>0.3399508393466662</v>
      </c>
      <c r="AD33" s="309">
        <f t="shared" si="11"/>
        <v>4.4721739756535706E-2</v>
      </c>
      <c r="AE33" s="310">
        <f t="shared" si="12"/>
        <v>0.42279861996321383</v>
      </c>
    </row>
    <row r="34" spans="1:31" ht="16.5" thickBot="1">
      <c r="A34" s="285" t="s">
        <v>383</v>
      </c>
      <c r="B34" s="286">
        <v>0.14000000000000001</v>
      </c>
      <c r="C34" s="287">
        <v>0.25</v>
      </c>
      <c r="D34" s="287">
        <v>5.9314755783359423E-2</v>
      </c>
      <c r="E34" s="287">
        <v>0.16846117939940874</v>
      </c>
      <c r="F34" s="287">
        <v>0.14000000000000001</v>
      </c>
      <c r="G34" s="287">
        <v>0.25</v>
      </c>
      <c r="H34" s="287">
        <v>5.9314755783359423E-2</v>
      </c>
      <c r="I34" s="287">
        <v>0.10239701823621034</v>
      </c>
      <c r="J34" s="287">
        <v>0</v>
      </c>
      <c r="K34" s="288">
        <v>0</v>
      </c>
      <c r="L34" s="288">
        <v>0</v>
      </c>
      <c r="M34" s="288">
        <v>0</v>
      </c>
      <c r="V34" s="257" t="str">
        <f t="shared" si="7"/>
        <v>燃料油</v>
      </c>
      <c r="W34" s="307">
        <f>O24+R24+U24</f>
        <v>1.2049396715991012</v>
      </c>
      <c r="Y34" s="296">
        <f t="shared" si="8"/>
        <v>14.628083709697194</v>
      </c>
      <c r="Z34" s="300">
        <f t="shared" si="14"/>
        <v>15.598660451449021</v>
      </c>
      <c r="AA34" s="308">
        <f t="shared" si="9"/>
        <v>0.1929334256394217</v>
      </c>
      <c r="AB34" s="308">
        <f>Z34/AE10</f>
        <v>0.20573460311067127</v>
      </c>
      <c r="AD34" s="309">
        <f t="shared" si="11"/>
        <v>3.6818662876948134E-2</v>
      </c>
      <c r="AE34" s="310">
        <f t="shared" si="12"/>
        <v>0.3696974098112914</v>
      </c>
    </row>
    <row r="35" spans="1:31" ht="16.5" thickTop="1">
      <c r="B35" s="516"/>
      <c r="U35" s="282"/>
      <c r="V35" s="257" t="str">
        <f t="shared" si="7"/>
        <v>电力</v>
      </c>
      <c r="W35" s="307">
        <f t="shared" si="13"/>
        <v>2.662555729682258</v>
      </c>
      <c r="Y35" s="296">
        <f>Y25-AE11</f>
        <v>212.201512797639</v>
      </c>
      <c r="Z35" s="300">
        <f>AI25-AE11</f>
        <v>237.06320573794014</v>
      </c>
      <c r="AA35" s="311"/>
      <c r="AD35" s="309">
        <f t="shared" si="11"/>
        <v>0.99442789444789459</v>
      </c>
      <c r="AE35" s="310">
        <f t="shared" si="12"/>
        <v>3.3408694757104564</v>
      </c>
    </row>
    <row r="36" spans="1:31" ht="14.25">
      <c r="U36" s="282"/>
    </row>
    <row r="37" spans="1:31" ht="15.75">
      <c r="Z37" s="300"/>
    </row>
    <row r="43" spans="1:31">
      <c r="A43" s="257" t="s">
        <v>399</v>
      </c>
    </row>
  </sheetData>
  <mergeCells count="9">
    <mergeCell ref="B24:E24"/>
    <mergeCell ref="F24:I24"/>
    <mergeCell ref="J24:M24"/>
    <mergeCell ref="B2:E2"/>
    <mergeCell ref="F2:I2"/>
    <mergeCell ref="J2:M2"/>
    <mergeCell ref="B13:E13"/>
    <mergeCell ref="F13:I13"/>
    <mergeCell ref="J13:M13"/>
  </mergeCells>
  <phoneticPr fontId="33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24"/>
  <sheetViews>
    <sheetView workbookViewId="0">
      <selection activeCell="L21" sqref="L21"/>
    </sheetView>
  </sheetViews>
  <sheetFormatPr defaultRowHeight="13.5"/>
  <cols>
    <col min="2" max="2" width="12.375" bestFit="1" customWidth="1"/>
    <col min="3" max="3" width="11.25" bestFit="1" customWidth="1"/>
    <col min="5" max="7" width="12.375" bestFit="1" customWidth="1"/>
    <col min="12" max="12" width="12.75" bestFit="1" customWidth="1"/>
    <col min="13" max="14" width="12.375" bestFit="1" customWidth="1"/>
    <col min="15" max="15" width="10.5" bestFit="1" customWidth="1"/>
    <col min="16" max="16" width="9" bestFit="1" customWidth="1"/>
    <col min="17" max="17" width="12.375" bestFit="1" customWidth="1"/>
  </cols>
  <sheetData>
    <row r="1" spans="1:21" ht="15" thickBot="1">
      <c r="A1" s="731" t="s">
        <v>0</v>
      </c>
      <c r="B1" s="733"/>
      <c r="C1" s="734"/>
      <c r="D1" s="735"/>
      <c r="E1" s="736"/>
      <c r="F1" s="738"/>
      <c r="G1" s="741"/>
      <c r="H1" s="736" t="s">
        <v>411</v>
      </c>
      <c r="I1" s="738"/>
      <c r="J1" s="738"/>
      <c r="K1" s="741"/>
      <c r="L1" s="338" t="s">
        <v>412</v>
      </c>
      <c r="M1" s="339" t="s">
        <v>413</v>
      </c>
      <c r="N1" s="340" t="s">
        <v>413</v>
      </c>
      <c r="O1" s="344"/>
      <c r="P1" s="345"/>
    </row>
    <row r="2" spans="1:21" ht="14.25" thickBot="1">
      <c r="A2" s="732"/>
      <c r="B2" s="325" t="s">
        <v>1</v>
      </c>
      <c r="C2" s="2" t="s">
        <v>2</v>
      </c>
      <c r="D2" s="326" t="s">
        <v>3</v>
      </c>
      <c r="E2" s="737"/>
      <c r="F2" s="739"/>
      <c r="G2" s="742"/>
      <c r="H2" s="737"/>
      <c r="I2" s="739"/>
      <c r="J2" s="739"/>
      <c r="K2" s="742"/>
      <c r="L2" s="93" t="s">
        <v>37</v>
      </c>
      <c r="M2" s="22" t="s">
        <v>40</v>
      </c>
      <c r="N2" s="328" t="s">
        <v>41</v>
      </c>
      <c r="O2" s="346"/>
      <c r="P2" s="347"/>
    </row>
    <row r="3" spans="1:21" ht="27">
      <c r="A3" s="732"/>
      <c r="B3" s="327" t="s">
        <v>4</v>
      </c>
      <c r="C3" s="22" t="s">
        <v>4</v>
      </c>
      <c r="D3" s="328" t="s">
        <v>4</v>
      </c>
      <c r="E3" s="327" t="s">
        <v>9</v>
      </c>
      <c r="F3" s="22" t="s">
        <v>9</v>
      </c>
      <c r="G3" s="328" t="s">
        <v>10</v>
      </c>
      <c r="H3" s="93" t="str">
        <f>I3</f>
        <v>g/MJ</v>
      </c>
      <c r="I3" s="22" t="s">
        <v>9</v>
      </c>
      <c r="J3" s="22" t="s">
        <v>10</v>
      </c>
      <c r="K3" s="328"/>
      <c r="L3" s="327" t="s">
        <v>9</v>
      </c>
      <c r="M3" s="22" t="s">
        <v>9</v>
      </c>
      <c r="N3" s="328" t="s">
        <v>414</v>
      </c>
      <c r="O3" s="348" t="s">
        <v>410</v>
      </c>
      <c r="P3" s="342" t="s">
        <v>74</v>
      </c>
      <c r="Q3" s="22" t="s">
        <v>430</v>
      </c>
      <c r="R3" t="s">
        <v>77</v>
      </c>
      <c r="S3" t="s">
        <v>75</v>
      </c>
      <c r="T3" s="22" t="s">
        <v>76</v>
      </c>
      <c r="U3" t="s">
        <v>78</v>
      </c>
    </row>
    <row r="4" spans="1:21">
      <c r="A4" s="321" t="s">
        <v>372</v>
      </c>
      <c r="B4" s="329">
        <f>'LC for SE'!O17</f>
        <v>1.0702445504439084</v>
      </c>
      <c r="C4" s="322">
        <f>'LC for SE'!R17</f>
        <v>2.0890782889715913E-3</v>
      </c>
      <c r="D4" s="330">
        <f>'LC for SE'!U17</f>
        <v>2.7428274248173018E-3</v>
      </c>
      <c r="E4" s="329">
        <f>'LC for SE'!Y27</f>
        <v>6.0533287026977121</v>
      </c>
      <c r="F4" s="322">
        <f>'LC for SE'!AD27</f>
        <v>0.43477861743910329</v>
      </c>
      <c r="G4" s="330">
        <f>'LC for SE'!AE27</f>
        <v>0.13112150681692816</v>
      </c>
      <c r="H4" s="335">
        <f>'LC for SE'!AE3</f>
        <v>81.641999999999996</v>
      </c>
      <c r="I4" s="322">
        <f>'LC for SE'!AB3</f>
        <v>1E-3</v>
      </c>
      <c r="J4" s="322">
        <f>'LC for SE'!AC3</f>
        <v>1E-3</v>
      </c>
      <c r="K4" s="330"/>
      <c r="L4" s="461">
        <f>'LC for SE'!Y17</f>
        <v>87.695328702697708</v>
      </c>
      <c r="M4" s="322">
        <f>'LC for SE'!AB17</f>
        <v>0.43577861743910329</v>
      </c>
      <c r="N4" s="341">
        <f>'LC for SE'!AE17</f>
        <v>1.1311215068169282E-3</v>
      </c>
      <c r="O4" s="496">
        <f>'LC for SE'!AI17</f>
        <v>98.590131212884316</v>
      </c>
      <c r="P4" s="345">
        <f>B4+C4+D4</f>
        <v>1.0750764561576973</v>
      </c>
      <c r="Q4" s="359">
        <f>1/P4*100</f>
        <v>93.016640283797202</v>
      </c>
      <c r="R4" s="22" t="str">
        <f>A4</f>
        <v>原煤</v>
      </c>
      <c r="S4" s="23">
        <f>B4/P4</f>
        <v>0.99550552364335276</v>
      </c>
      <c r="T4" s="23">
        <f>C4/P4</f>
        <v>1.9431904372996104E-3</v>
      </c>
      <c r="U4" s="23">
        <f>D4/P4</f>
        <v>2.5512859193476474E-3</v>
      </c>
    </row>
    <row r="5" spans="1:21" ht="27">
      <c r="A5" s="320" t="s">
        <v>373</v>
      </c>
      <c r="B5" s="331">
        <f>'LC for SE'!O18</f>
        <v>4.5180817483054178E-2</v>
      </c>
      <c r="C5" s="317">
        <f>'LC for SE'!R18</f>
        <v>1.0538104109762965</v>
      </c>
      <c r="D5" s="332">
        <f>'LC for SE'!U18</f>
        <v>4.8420701656464671E-2</v>
      </c>
      <c r="E5" s="331">
        <f>'LC for SE'!Y28</f>
        <v>10.171729394379625</v>
      </c>
      <c r="F5" s="317">
        <f>'LC for SE'!AD28</f>
        <v>9.4966917169185899E-2</v>
      </c>
      <c r="G5" s="332">
        <f>'LC for SE'!AE28</f>
        <v>0.41124022668255489</v>
      </c>
      <c r="H5" s="336">
        <f>'LC for SE'!AE4</f>
        <v>55.539000000000001</v>
      </c>
      <c r="I5" s="317">
        <f>'LC for SE'!AB4</f>
        <v>1E-3</v>
      </c>
      <c r="J5" s="317">
        <f>'LC for SE'!AC4</f>
        <v>1E-3</v>
      </c>
      <c r="K5" s="332"/>
      <c r="L5" s="462">
        <f>'LC for SE'!Y18</f>
        <v>65.710729394379626</v>
      </c>
      <c r="M5" s="317">
        <f>'LC for SE'!AB18</f>
        <v>9.59669171691859E-2</v>
      </c>
      <c r="N5" s="342">
        <f>'LC for SE'!AE18</f>
        <v>1.4112402266825549E-3</v>
      </c>
      <c r="O5" s="497">
        <f>'LC for SE'!AI18</f>
        <v>68.110322873196822</v>
      </c>
      <c r="P5" s="347">
        <f t="shared" ref="P5:P12" si="0">B5+C5+D5</f>
        <v>1.1474119301158152</v>
      </c>
      <c r="Q5" s="359">
        <f t="shared" ref="Q5:Q12" si="1">1/P5*100</f>
        <v>87.152658409178642</v>
      </c>
      <c r="R5" s="22" t="str">
        <f t="shared" ref="R5:R12" si="2">A5</f>
        <v>原始天然气</v>
      </c>
      <c r="S5" s="23">
        <f>B5/P5</f>
        <v>3.9376283527480668E-2</v>
      </c>
      <c r="T5" s="23">
        <f>C5/P5</f>
        <v>0.91842378775853328</v>
      </c>
      <c r="U5" s="23">
        <f>D5/P5</f>
        <v>4.219992871398616E-2</v>
      </c>
    </row>
    <row r="6" spans="1:21">
      <c r="A6" s="320" t="s">
        <v>374</v>
      </c>
      <c r="B6" s="331">
        <f>'LC for SE'!O19</f>
        <v>3.1300382004389268E-2</v>
      </c>
      <c r="C6" s="317">
        <f>'LC for SE'!R19</f>
        <v>3.7278794700936674E-2</v>
      </c>
      <c r="D6" s="332">
        <f>'LC for SE'!U19</f>
        <v>1.0335449100569365</v>
      </c>
      <c r="E6" s="331">
        <f>'LC for SE'!Y29</f>
        <v>7.0467741272896802</v>
      </c>
      <c r="F6" s="317">
        <f>'LC for SE'!AD29</f>
        <v>2.4911028637945934E-2</v>
      </c>
      <c r="G6" s="332">
        <f>'LC for SE'!AE29</f>
        <v>0.28489914321633103</v>
      </c>
      <c r="H6" s="336">
        <f>'LC for SE'!AE5</f>
        <v>71.86666666666666</v>
      </c>
      <c r="I6" s="317">
        <f>'LC for SE'!AB5</f>
        <v>2E-3</v>
      </c>
      <c r="J6" s="317">
        <f>'LC for SE'!AC5</f>
        <v>0</v>
      </c>
      <c r="K6" s="332"/>
      <c r="L6" s="462">
        <f>'LC for SE'!Y19</f>
        <v>78.91344079395634</v>
      </c>
      <c r="M6" s="317">
        <f>'LC for SE'!AB19</f>
        <v>2.6911028637945936E-2</v>
      </c>
      <c r="N6" s="342">
        <f>'LC for SE'!AE19</f>
        <v>2.8489914321633102E-4</v>
      </c>
      <c r="O6" s="497">
        <f>'LC for SE'!AI19</f>
        <v>79.586301409849668</v>
      </c>
      <c r="P6" s="347">
        <f t="shared" si="0"/>
        <v>1.1021240867622624</v>
      </c>
      <c r="Q6" s="359">
        <f t="shared" si="1"/>
        <v>90.733884869327653</v>
      </c>
      <c r="R6" s="22" t="str">
        <f t="shared" si="2"/>
        <v>原油</v>
      </c>
      <c r="S6" s="23">
        <f t="shared" ref="S6:S11" si="3">B6/P6</f>
        <v>2.8400052571522311E-2</v>
      </c>
      <c r="T6" s="23">
        <f t="shared" ref="T6:T12" si="4">C6/P6</f>
        <v>3.3824498664620901E-2</v>
      </c>
      <c r="U6" s="23">
        <f t="shared" ref="U6:U12" si="5">D6/P6</f>
        <v>0.93777544876385688</v>
      </c>
    </row>
    <row r="7" spans="1:21">
      <c r="A7" s="320" t="s">
        <v>378</v>
      </c>
      <c r="B7" s="331">
        <f>'LC for SE'!O20</f>
        <v>1.0725952042692279</v>
      </c>
      <c r="C7" s="317">
        <f>'LC for SE'!R20</f>
        <v>2.7284813392808517E-3</v>
      </c>
      <c r="D7" s="332">
        <f>'LC for SE'!U20</f>
        <v>1.4748902545763573E-2</v>
      </c>
      <c r="E7" s="331">
        <f>'LC for SE'!Y30</f>
        <v>7.1508607979106813</v>
      </c>
      <c r="F7" s="317">
        <f>'LC for SE'!AD30</f>
        <v>0.4360024476495683</v>
      </c>
      <c r="G7" s="332">
        <f>'LC for SE'!AE30</f>
        <v>0.3823713978147727</v>
      </c>
      <c r="H7" s="336">
        <f>'LC for SE'!AE6</f>
        <v>81.641999999999996</v>
      </c>
      <c r="I7" s="317">
        <f>'LC for SE'!AB6</f>
        <v>1E-3</v>
      </c>
      <c r="J7" s="317">
        <f>'LC for SE'!AC6</f>
        <v>1E-3</v>
      </c>
      <c r="K7" s="332"/>
      <c r="L7" s="462">
        <f>'LC for SE'!Y20</f>
        <v>88.792860797910677</v>
      </c>
      <c r="M7" s="317">
        <f>'LC for SE'!AB20</f>
        <v>0.4370024476495683</v>
      </c>
      <c r="N7" s="342">
        <f>'LC for SE'!AE20</f>
        <v>1.3823713978147727E-3</v>
      </c>
      <c r="O7" s="497">
        <f>'LC for SE'!AI20</f>
        <v>99.718333935826436</v>
      </c>
      <c r="P7" s="347">
        <f t="shared" si="0"/>
        <v>1.0900725881542725</v>
      </c>
      <c r="Q7" s="359">
        <f t="shared" si="1"/>
        <v>91.737010073174602</v>
      </c>
      <c r="R7" s="22" t="str">
        <f t="shared" si="2"/>
        <v>精煤</v>
      </c>
      <c r="S7" s="23">
        <f t="shared" si="3"/>
        <v>0.98396677058484927</v>
      </c>
      <c r="T7" s="23">
        <f t="shared" si="4"/>
        <v>2.5030272010607641E-3</v>
      </c>
      <c r="U7" s="23">
        <f t="shared" si="5"/>
        <v>1.3530202214089833E-2</v>
      </c>
    </row>
    <row r="8" spans="1:21" ht="27">
      <c r="A8" s="320" t="s">
        <v>379</v>
      </c>
      <c r="B8" s="331">
        <f>'LC for SE'!O21</f>
        <v>4.5458234680092517E-2</v>
      </c>
      <c r="C8" s="317">
        <f>'LC for SE'!R21</f>
        <v>1.0580245317407337</v>
      </c>
      <c r="D8" s="332">
        <f>'LC for SE'!U21</f>
        <v>4.8616730196789741E-2</v>
      </c>
      <c r="E8" s="331">
        <f>'LC for SE'!Y31</f>
        <v>10.448384034226471</v>
      </c>
      <c r="F8" s="317">
        <f>'LC for SE'!AD31</f>
        <v>9.5390091746589925E-2</v>
      </c>
      <c r="G8" s="332">
        <f>'LC for SE'!AE31</f>
        <v>0.41700828651552002</v>
      </c>
      <c r="H8" s="336">
        <f>'LC for SE'!AE7</f>
        <v>56.990999999999993</v>
      </c>
      <c r="I8" s="317">
        <f>'LC for SE'!AB7</f>
        <v>1E-3</v>
      </c>
      <c r="J8" s="317">
        <f>'LC for SE'!AC7</f>
        <v>1E-3</v>
      </c>
      <c r="K8" s="332"/>
      <c r="L8" s="462">
        <f>'LC for SE'!Y21</f>
        <v>67.439384034226464</v>
      </c>
      <c r="M8" s="317">
        <f>'LC for SE'!AB21</f>
        <v>9.6390091746589926E-2</v>
      </c>
      <c r="N8" s="342">
        <f>'LC for SE'!AE21</f>
        <v>1.4170082865155201E-3</v>
      </c>
      <c r="O8" s="497">
        <f>'LC for SE'!AI21</f>
        <v>69.849558596360595</v>
      </c>
      <c r="P8" s="347">
        <f t="shared" si="0"/>
        <v>1.1520994966176159</v>
      </c>
      <c r="Q8" s="359">
        <f t="shared" si="1"/>
        <v>86.798058929445219</v>
      </c>
      <c r="R8" s="22" t="str">
        <f t="shared" si="2"/>
        <v>精制天然气</v>
      </c>
      <c r="S8" s="23">
        <f t="shared" si="3"/>
        <v>3.9456865325912208E-2</v>
      </c>
      <c r="T8" s="23">
        <f t="shared" si="4"/>
        <v>0.91834475654830894</v>
      </c>
      <c r="U8" s="23">
        <f t="shared" si="5"/>
        <v>4.2198378125778951E-2</v>
      </c>
    </row>
    <row r="9" spans="1:21">
      <c r="A9" s="320" t="s">
        <v>380</v>
      </c>
      <c r="B9" s="331">
        <f>'LC for SE'!O22</f>
        <v>7.2286083298277556E-2</v>
      </c>
      <c r="C9" s="317">
        <f>'LC for SE'!R22</f>
        <v>4.9578985063534531E-2</v>
      </c>
      <c r="D9" s="332">
        <f>'LC for SE'!U22</f>
        <v>1.1472286156546083</v>
      </c>
      <c r="E9" s="331">
        <f>'LC for SE'!Y32</f>
        <v>19.311610676350696</v>
      </c>
      <c r="F9" s="317">
        <f>'LC for SE'!AD32</f>
        <v>4.3800712528763816E-2</v>
      </c>
      <c r="G9" s="332">
        <f>'LC for SE'!AE32</f>
        <v>0.41768902525592122</v>
      </c>
      <c r="H9" s="336">
        <f>'LC for SE'!AE8</f>
        <v>72.585333333333324</v>
      </c>
      <c r="I9" s="317">
        <f>'LC for SE'!AB8</f>
        <v>4.0000000000000001E-3</v>
      </c>
      <c r="J9" s="317">
        <f>'LC for SE'!AC8</f>
        <v>2.8000000000000001E-2</v>
      </c>
      <c r="K9" s="332"/>
      <c r="L9" s="462">
        <f>'LC for SE'!Y22</f>
        <v>91.89694400968402</v>
      </c>
      <c r="M9" s="317">
        <f>'LC for SE'!AB22</f>
        <v>4.780071252876382E-2</v>
      </c>
      <c r="N9" s="342">
        <f>'LC for SE'!AE22</f>
        <v>2.8417689025255922E-2</v>
      </c>
      <c r="O9" s="497">
        <f>'LC for SE'!AI22</f>
        <v>93.100430294232638</v>
      </c>
      <c r="P9" s="347">
        <f t="shared" si="0"/>
        <v>1.2690936840164204</v>
      </c>
      <c r="Q9" s="359">
        <f t="shared" si="1"/>
        <v>78.796389312663322</v>
      </c>
      <c r="R9" s="22" t="str">
        <f t="shared" si="2"/>
        <v>柴油</v>
      </c>
      <c r="S9" s="23">
        <f t="shared" si="3"/>
        <v>5.6958823614586887E-2</v>
      </c>
      <c r="T9" s="23">
        <f t="shared" si="4"/>
        <v>3.9066450087929867E-2</v>
      </c>
      <c r="U9" s="23">
        <f t="shared" si="5"/>
        <v>0.90397472629748321</v>
      </c>
    </row>
    <row r="10" spans="1:21">
      <c r="A10" s="320" t="s">
        <v>381</v>
      </c>
      <c r="B10" s="331">
        <f>'LC for SE'!O23</f>
        <v>7.4260045413688622E-2</v>
      </c>
      <c r="C10" s="317">
        <f>'LC for SE'!R23</f>
        <v>5.0176246572035947E-2</v>
      </c>
      <c r="D10" s="332">
        <f>'LC for SE'!U23</f>
        <v>1.1536512570529016</v>
      </c>
      <c r="E10" s="331">
        <f>'LC for SE'!Y33</f>
        <v>19.968655815487352</v>
      </c>
      <c r="F10" s="317">
        <f>'LC for SE'!AD33</f>
        <v>4.4721739756535706E-2</v>
      </c>
      <c r="G10" s="332">
        <f>'LC for SE'!AE33</f>
        <v>0.42279861996321383</v>
      </c>
      <c r="H10" s="336">
        <f>'LC for SE'!AE9</f>
        <v>67.914000000000001</v>
      </c>
      <c r="I10" s="317">
        <f>'LC for SE'!AB9</f>
        <v>0.08</v>
      </c>
      <c r="J10" s="317">
        <f>'LC for SE'!AC9</f>
        <v>2E-3</v>
      </c>
      <c r="K10" s="332"/>
      <c r="L10" s="462">
        <f>'LC for SE'!Y23</f>
        <v>87.882655815487354</v>
      </c>
      <c r="M10" s="317">
        <f>'LC for SE'!AB23</f>
        <v>0.12472173975653571</v>
      </c>
      <c r="N10" s="342">
        <f>'LC for SE'!AE23</f>
        <v>2.4227986199632139E-3</v>
      </c>
      <c r="O10" s="497">
        <f>'LC for SE'!AI23</f>
        <v>91.001421303389492</v>
      </c>
      <c r="P10" s="347">
        <f t="shared" si="0"/>
        <v>1.2780875490386261</v>
      </c>
      <c r="Q10" s="359">
        <f t="shared" si="1"/>
        <v>78.241901405908948</v>
      </c>
      <c r="R10" s="22" t="str">
        <f t="shared" si="2"/>
        <v>汽油</v>
      </c>
      <c r="S10" s="23">
        <f t="shared" si="3"/>
        <v>5.8102471516561463E-2</v>
      </c>
      <c r="T10" s="23">
        <f t="shared" si="4"/>
        <v>3.9258849372078131E-2</v>
      </c>
      <c r="U10" s="23">
        <f t="shared" si="5"/>
        <v>0.90263867911136053</v>
      </c>
    </row>
    <row r="11" spans="1:21">
      <c r="A11" s="320" t="s">
        <v>382</v>
      </c>
      <c r="B11" s="331">
        <f>'LC for SE'!O24</f>
        <v>5.7272768689944228E-2</v>
      </c>
      <c r="C11" s="317">
        <f>'LC for SE'!R24</f>
        <v>4.4646692164637548E-2</v>
      </c>
      <c r="D11" s="332">
        <f>'LC for SE'!U24</f>
        <v>1.1030202107445195</v>
      </c>
      <c r="E11" s="331">
        <f>'LC for SE'!Y34</f>
        <v>14.628083709697194</v>
      </c>
      <c r="F11" s="317">
        <f>'LC for SE'!AD34</f>
        <v>3.6818662876948134E-2</v>
      </c>
      <c r="G11" s="332">
        <f>'LC for SE'!AE34</f>
        <v>0.3696974098112914</v>
      </c>
      <c r="H11" s="336">
        <f>'LC for SE'!AE10</f>
        <v>75.819333333333333</v>
      </c>
      <c r="I11" s="317">
        <f>'LC for SE'!AB10</f>
        <v>2E-3</v>
      </c>
      <c r="J11" s="317">
        <f>'LC for SE'!AC10</f>
        <v>0</v>
      </c>
      <c r="K11" s="332"/>
      <c r="L11" s="462">
        <f>'LC for SE'!Y24</f>
        <v>90.447417043030526</v>
      </c>
      <c r="M11" s="317">
        <f>'LC for SE'!AB24</f>
        <v>3.8818662876948136E-2</v>
      </c>
      <c r="N11" s="342">
        <f>'LC for SE'!AE24</f>
        <v>3.696974098112914E-4</v>
      </c>
      <c r="O11" s="497">
        <f>'LC for SE'!AI24</f>
        <v>91.417993784782354</v>
      </c>
      <c r="P11" s="347">
        <f t="shared" si="0"/>
        <v>1.2049396715991012</v>
      </c>
      <c r="Q11" s="359">
        <f t="shared" si="1"/>
        <v>82.991706852250829</v>
      </c>
      <c r="R11" s="22" t="str">
        <f t="shared" si="2"/>
        <v>燃料油</v>
      </c>
      <c r="S11" s="23">
        <f t="shared" si="3"/>
        <v>4.7531648297326215E-2</v>
      </c>
      <c r="T11" s="23">
        <f t="shared" si="4"/>
        <v>3.7053051880502841E-2</v>
      </c>
      <c r="U11" s="23">
        <f t="shared" si="5"/>
        <v>0.91541529982217096</v>
      </c>
    </row>
    <row r="12" spans="1:21">
      <c r="A12" s="323" t="s">
        <v>383</v>
      </c>
      <c r="B12" s="333">
        <f>'LC for SE'!O25</f>
        <v>2.4073229729246317</v>
      </c>
      <c r="C12" s="324">
        <f>'LC for SE'!R25</f>
        <v>0.18717839215522458</v>
      </c>
      <c r="D12" s="334">
        <f>'LC for SE'!U25</f>
        <v>6.8054364602401593E-2</v>
      </c>
      <c r="E12" s="333">
        <f>'LC for SE'!Y35</f>
        <v>212.201512797639</v>
      </c>
      <c r="F12" s="324">
        <f>'LC for SE'!AD35</f>
        <v>0.99442789444789459</v>
      </c>
      <c r="G12" s="334">
        <f>'LC for SE'!AE35</f>
        <v>3.3408694757104564</v>
      </c>
      <c r="H12" s="337">
        <f>'LC for SE'!AE11</f>
        <v>0</v>
      </c>
      <c r="I12" s="324">
        <f>'LC for SE'!AB11</f>
        <v>0</v>
      </c>
      <c r="J12" s="324">
        <f>'LC for SE'!AC11</f>
        <v>0</v>
      </c>
      <c r="K12" s="334"/>
      <c r="L12" s="463">
        <f>'LC for SE'!Y25</f>
        <v>212.201512797639</v>
      </c>
      <c r="M12" s="324">
        <f>'LC for SE'!AB25</f>
        <v>0.99442789444789459</v>
      </c>
      <c r="N12" s="343">
        <f>'LC for SE'!AE25</f>
        <v>3.3408694757104565E-3</v>
      </c>
      <c r="O12" s="498">
        <f>'LC for SE'!AI25</f>
        <v>237.06320573794014</v>
      </c>
      <c r="P12" s="349">
        <f t="shared" si="0"/>
        <v>2.662555729682258</v>
      </c>
      <c r="Q12" s="359">
        <f t="shared" si="1"/>
        <v>37.557899308997271</v>
      </c>
      <c r="R12" s="22" t="str">
        <f t="shared" si="2"/>
        <v>电力</v>
      </c>
      <c r="S12" s="23">
        <f>B12/P12</f>
        <v>0.90413993821339278</v>
      </c>
      <c r="T12" s="23">
        <f t="shared" si="4"/>
        <v>7.0300272053859289E-2</v>
      </c>
      <c r="U12" s="23">
        <f t="shared" si="5"/>
        <v>2.5559789732747872E-2</v>
      </c>
    </row>
    <row r="13" spans="1:21" ht="14.25" thickBot="1"/>
    <row r="14" spans="1:21" ht="14.25" thickBot="1">
      <c r="A14" s="731" t="s">
        <v>0</v>
      </c>
      <c r="B14" s="732"/>
      <c r="C14" s="740"/>
      <c r="D14" s="321" t="s">
        <v>372</v>
      </c>
      <c r="E14" s="320" t="s">
        <v>373</v>
      </c>
      <c r="F14" s="320" t="s">
        <v>374</v>
      </c>
      <c r="G14" s="320" t="s">
        <v>378</v>
      </c>
      <c r="H14" s="320" t="s">
        <v>379</v>
      </c>
      <c r="I14" s="320" t="s">
        <v>380</v>
      </c>
      <c r="J14" s="320" t="s">
        <v>381</v>
      </c>
      <c r="K14" s="320" t="s">
        <v>382</v>
      </c>
      <c r="L14" s="323" t="s">
        <v>383</v>
      </c>
    </row>
    <row r="15" spans="1:21" ht="14.25" thickBot="1">
      <c r="A15" s="730"/>
      <c r="B15" s="1" t="s">
        <v>1</v>
      </c>
      <c r="C15" s="3" t="s">
        <v>4</v>
      </c>
      <c r="D15" s="314">
        <f>B4</f>
        <v>1.0702445504439084</v>
      </c>
      <c r="E15" s="314">
        <f>B5</f>
        <v>4.5180817483054178E-2</v>
      </c>
      <c r="F15" s="314">
        <f>B6</f>
        <v>3.1300382004389268E-2</v>
      </c>
      <c r="G15" s="318">
        <f>B7</f>
        <v>1.0725952042692279</v>
      </c>
      <c r="H15" s="314">
        <f>B8</f>
        <v>4.5458234680092517E-2</v>
      </c>
      <c r="I15" s="318">
        <f>B9</f>
        <v>7.2286083298277556E-2</v>
      </c>
      <c r="J15" s="318">
        <f>B10</f>
        <v>7.4260045413688622E-2</v>
      </c>
      <c r="K15" s="318">
        <f>B11</f>
        <v>5.7272768689944228E-2</v>
      </c>
      <c r="L15" s="319">
        <f>B12</f>
        <v>2.4073229729246317</v>
      </c>
    </row>
    <row r="16" spans="1:21" ht="14.25" thickBot="1">
      <c r="A16" s="730"/>
      <c r="B16" s="2" t="s">
        <v>2</v>
      </c>
      <c r="C16" s="3" t="s">
        <v>4</v>
      </c>
      <c r="D16" s="314">
        <f>C4</f>
        <v>2.0890782889715913E-3</v>
      </c>
      <c r="E16" s="314">
        <f>C5</f>
        <v>1.0538104109762965</v>
      </c>
      <c r="F16" s="314">
        <f>C6</f>
        <v>3.7278794700936674E-2</v>
      </c>
      <c r="G16" s="318">
        <f>C7</f>
        <v>2.7284813392808517E-3</v>
      </c>
      <c r="H16" s="314">
        <f>C8</f>
        <v>1.0580245317407337</v>
      </c>
      <c r="I16" s="318">
        <f>C9</f>
        <v>4.9578985063534531E-2</v>
      </c>
      <c r="J16" s="318">
        <f>C10</f>
        <v>5.0176246572035947E-2</v>
      </c>
      <c r="K16" s="318">
        <f>C11</f>
        <v>4.4646692164637548E-2</v>
      </c>
      <c r="L16" s="319">
        <f>C12</f>
        <v>0.18717839215522458</v>
      </c>
      <c r="N16" s="276"/>
    </row>
    <row r="17" spans="1:14" ht="14.25" thickBot="1">
      <c r="A17" s="730"/>
      <c r="B17" s="2" t="s">
        <v>3</v>
      </c>
      <c r="C17" s="3" t="s">
        <v>4</v>
      </c>
      <c r="D17" s="314">
        <f>D4</f>
        <v>2.7428274248173018E-3</v>
      </c>
      <c r="E17" s="314">
        <f>D5</f>
        <v>4.8420701656464671E-2</v>
      </c>
      <c r="F17" s="314">
        <f>D6</f>
        <v>1.0335449100569365</v>
      </c>
      <c r="G17" s="318">
        <f>D7</f>
        <v>1.4748902545763573E-2</v>
      </c>
      <c r="H17" s="314">
        <f>D8</f>
        <v>4.8616730196789741E-2</v>
      </c>
      <c r="I17" s="318">
        <f>D9</f>
        <v>1.1472286156546083</v>
      </c>
      <c r="J17" s="318">
        <f>D10</f>
        <v>1.1536512570529016</v>
      </c>
      <c r="K17" s="318">
        <f>D10</f>
        <v>1.1536512570529016</v>
      </c>
      <c r="L17" s="319">
        <f>D12</f>
        <v>6.8054364602401593E-2</v>
      </c>
      <c r="M17" s="22"/>
      <c r="N17" s="22"/>
    </row>
    <row r="18" spans="1:14" ht="14.25">
      <c r="B18" t="s">
        <v>37</v>
      </c>
      <c r="C18" t="str">
        <f>L3</f>
        <v>g/MJ</v>
      </c>
      <c r="D18" s="314">
        <f>L4</f>
        <v>87.695328702697708</v>
      </c>
      <c r="E18" s="314">
        <f>L5</f>
        <v>65.710729394379626</v>
      </c>
      <c r="F18" s="314">
        <f>L6</f>
        <v>78.91344079395634</v>
      </c>
      <c r="G18" s="21">
        <f>L7</f>
        <v>88.792860797910677</v>
      </c>
      <c r="H18" s="314">
        <f>L8</f>
        <v>67.439384034226464</v>
      </c>
      <c r="I18" s="21">
        <f>L9</f>
        <v>91.89694400968402</v>
      </c>
      <c r="J18" s="21">
        <f>L10</f>
        <v>87.882655815487354</v>
      </c>
      <c r="K18" s="21">
        <f>L11</f>
        <v>90.447417043030526</v>
      </c>
      <c r="L18" s="21">
        <f>L12</f>
        <v>212.201512797639</v>
      </c>
      <c r="M18" s="29"/>
      <c r="N18" s="29"/>
    </row>
    <row r="19" spans="1:14">
      <c r="B19" s="22" t="s">
        <v>40</v>
      </c>
      <c r="C19" t="str">
        <f>M3</f>
        <v>g/MJ</v>
      </c>
      <c r="D19" s="314">
        <f>M4</f>
        <v>0.43577861743910329</v>
      </c>
      <c r="E19" s="314">
        <f>M5</f>
        <v>9.59669171691859E-2</v>
      </c>
      <c r="F19" s="314">
        <f>M6</f>
        <v>2.6911028637945936E-2</v>
      </c>
      <c r="G19" s="314">
        <f>M7</f>
        <v>0.4370024476495683</v>
      </c>
      <c r="H19" s="314">
        <f>M8</f>
        <v>9.6390091746589926E-2</v>
      </c>
      <c r="I19" s="314">
        <f>M9</f>
        <v>4.780071252876382E-2</v>
      </c>
      <c r="J19" s="314">
        <f>M10</f>
        <v>0.12472173975653571</v>
      </c>
      <c r="K19" s="314">
        <f>M11</f>
        <v>3.8818662876948136E-2</v>
      </c>
      <c r="L19" s="314">
        <f>M12</f>
        <v>0.99442789444789459</v>
      </c>
    </row>
    <row r="20" spans="1:14">
      <c r="B20" s="22" t="s">
        <v>41</v>
      </c>
      <c r="C20" t="str">
        <f>N3</f>
        <v>Mg/MJ</v>
      </c>
      <c r="D20" s="314">
        <f>N4</f>
        <v>1.1311215068169282E-3</v>
      </c>
      <c r="E20" s="314">
        <f>N5</f>
        <v>1.4112402266825549E-3</v>
      </c>
      <c r="F20" s="314">
        <f>N6</f>
        <v>2.8489914321633102E-4</v>
      </c>
      <c r="G20" s="314">
        <f>N7</f>
        <v>1.3823713978147727E-3</v>
      </c>
      <c r="H20" s="314">
        <f>N8</f>
        <v>1.4170082865155201E-3</v>
      </c>
      <c r="I20" s="314">
        <f>N9</f>
        <v>2.8417689025255922E-2</v>
      </c>
      <c r="J20" s="314">
        <f>N10</f>
        <v>2.4227986199632139E-3</v>
      </c>
      <c r="K20" s="314">
        <f>N11</f>
        <v>3.696974098112914E-4</v>
      </c>
      <c r="L20" s="314">
        <f>N12</f>
        <v>3.3408694757104565E-3</v>
      </c>
    </row>
    <row r="21" spans="1:14">
      <c r="B21" s="22"/>
      <c r="D21" s="314">
        <f>O4</f>
        <v>98.590131212884316</v>
      </c>
      <c r="E21" s="314">
        <f>O5</f>
        <v>68.110322873196822</v>
      </c>
      <c r="F21" s="314">
        <f>O6</f>
        <v>79.586301409849668</v>
      </c>
      <c r="G21" s="314">
        <f>O7</f>
        <v>99.718333935826436</v>
      </c>
      <c r="H21" s="314">
        <f>O8</f>
        <v>69.849558596360595</v>
      </c>
      <c r="I21" s="314">
        <f>O9</f>
        <v>93.100430294232638</v>
      </c>
      <c r="J21" s="314">
        <f>O10</f>
        <v>91.001421303389492</v>
      </c>
      <c r="K21" s="314">
        <f>O11</f>
        <v>91.417993784782354</v>
      </c>
      <c r="L21" s="314">
        <f>O12</f>
        <v>237.06320573794014</v>
      </c>
    </row>
    <row r="22" spans="1:14">
      <c r="F22" s="350"/>
      <c r="G22" s="351"/>
      <c r="H22" s="352" t="s">
        <v>419</v>
      </c>
    </row>
    <row r="23" spans="1:14">
      <c r="F23" s="353" t="s">
        <v>417</v>
      </c>
      <c r="G23" s="168">
        <f>H7*(1-H23)+E7</f>
        <v>15.315060797910679</v>
      </c>
      <c r="H23" s="354">
        <v>0.9</v>
      </c>
    </row>
    <row r="24" spans="1:14">
      <c r="F24" s="355" t="s">
        <v>418</v>
      </c>
      <c r="G24" s="356">
        <f>H7*(1-H24)+E7</f>
        <v>18.580740797910682</v>
      </c>
      <c r="H24" s="357">
        <v>0.86</v>
      </c>
    </row>
  </sheetData>
  <mergeCells count="11">
    <mergeCell ref="G1:G2"/>
    <mergeCell ref="H1:H2"/>
    <mergeCell ref="I1:I2"/>
    <mergeCell ref="J1:J2"/>
    <mergeCell ref="K1:K2"/>
    <mergeCell ref="A15:A17"/>
    <mergeCell ref="A1:A3"/>
    <mergeCell ref="B1:D1"/>
    <mergeCell ref="E1:E2"/>
    <mergeCell ref="F1:F2"/>
    <mergeCell ref="A14:C14"/>
  </mergeCells>
  <phoneticPr fontId="9" type="noConversion"/>
  <pageMargins left="0.7" right="0.7" top="0.75" bottom="0.75" header="0.3" footer="0.3"/>
  <legacyDrawing r:id="rId1"/>
  <oleObjects>
    <oleObject progId="Equation.DSMT4" shapeId="1025" r:id="rId2"/>
    <oleObject progId="Equation.DSMT4" shapeId="1032" r:id="rId3"/>
    <oleObject progId="Equation.DSMT4" shapeId="1031" r:id="rId4"/>
    <oleObject progId="Equation.DSMT4" shapeId="1030" r:id="rId5"/>
    <oleObject progId="Equation.DSMT4" shapeId="1029" r:id="rId6"/>
    <oleObject progId="Equation.DSMT4" shapeId="1028" r:id="rId7"/>
  </oleObjects>
</worksheet>
</file>

<file path=xl/worksheets/sheet1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8" sqref="D8"/>
    </sheetView>
  </sheetViews>
  <sheetFormatPr defaultRowHeight="13.5"/>
  <cols>
    <col min="1" max="1" width="17.25" customWidth="1"/>
  </cols>
  <sheetData>
    <row r="1" spans="1:5" ht="15.75">
      <c r="A1" s="313" t="s">
        <v>415</v>
      </c>
    </row>
    <row r="2" spans="1:5" ht="14.25" thickBot="1"/>
    <row r="3" spans="1:5" ht="14.25" thickBot="1">
      <c r="A3" s="12" t="s">
        <v>17</v>
      </c>
      <c r="B3" s="13" t="s">
        <v>6</v>
      </c>
      <c r="C3" s="13" t="s">
        <v>5</v>
      </c>
      <c r="D3" s="32"/>
      <c r="E3" s="405" t="s">
        <v>533</v>
      </c>
    </row>
    <row r="4" spans="1:5">
      <c r="A4" s="22"/>
      <c r="B4" s="227"/>
      <c r="C4" s="227"/>
      <c r="D4" s="256"/>
    </row>
    <row r="5" spans="1:5">
      <c r="A5" s="4" t="s">
        <v>5</v>
      </c>
      <c r="B5" s="393">
        <f>0.98*2</f>
        <v>1.96</v>
      </c>
      <c r="C5" s="393">
        <f>0.99*2</f>
        <v>1.98</v>
      </c>
      <c r="D5">
        <f>C5/C9</f>
        <v>0.22197309417040359</v>
      </c>
    </row>
    <row r="6" spans="1:5">
      <c r="A6" s="4" t="s">
        <v>6</v>
      </c>
      <c r="B6" s="393">
        <v>0.03</v>
      </c>
      <c r="C6" s="393">
        <v>0.03</v>
      </c>
    </row>
    <row r="7" spans="1:5">
      <c r="A7" s="4" t="s">
        <v>7</v>
      </c>
      <c r="B7" s="393">
        <f>1.02*7</f>
        <v>7.1400000000000006</v>
      </c>
      <c r="C7" s="393">
        <f>0.85*7</f>
        <v>5.95</v>
      </c>
      <c r="D7">
        <f>C7/C9</f>
        <v>0.6670403587443946</v>
      </c>
    </row>
    <row r="8" spans="1:5" ht="14.25" thickBot="1">
      <c r="A8" s="3" t="s">
        <v>8</v>
      </c>
      <c r="B8" s="394">
        <v>0.74</v>
      </c>
      <c r="C8" s="394">
        <v>0.96</v>
      </c>
    </row>
    <row r="9" spans="1:5" ht="15.75">
      <c r="A9" s="14"/>
      <c r="C9">
        <f>SUM(C5:C8)</f>
        <v>8.92</v>
      </c>
    </row>
    <row r="10" spans="1:5" ht="15.75">
      <c r="A10" s="14"/>
    </row>
    <row r="11" spans="1:5" ht="14.25">
      <c r="A11" s="31" t="s">
        <v>87</v>
      </c>
    </row>
    <row r="12" spans="1:5">
      <c r="A12" s="32" t="s">
        <v>97</v>
      </c>
    </row>
    <row r="13" spans="1:5">
      <c r="A13" s="32" t="s">
        <v>98</v>
      </c>
    </row>
  </sheetData>
  <phoneticPr fontId="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3:H23"/>
  <sheetViews>
    <sheetView workbookViewId="0">
      <selection activeCell="D15" sqref="D15"/>
    </sheetView>
  </sheetViews>
  <sheetFormatPr defaultRowHeight="13.5"/>
  <cols>
    <col min="1" max="1" width="10.5" style="543" bestFit="1" customWidth="1"/>
    <col min="2" max="256" width="8.875" style="543"/>
    <col min="257" max="257" width="10.5" style="543" bestFit="1" customWidth="1"/>
    <col min="258" max="512" width="8.875" style="543"/>
    <col min="513" max="513" width="10.5" style="543" bestFit="1" customWidth="1"/>
    <col min="514" max="768" width="8.875" style="543"/>
    <col min="769" max="769" width="10.5" style="543" bestFit="1" customWidth="1"/>
    <col min="770" max="1024" width="8.875" style="543"/>
    <col min="1025" max="1025" width="10.5" style="543" bestFit="1" customWidth="1"/>
    <col min="1026" max="1280" width="8.875" style="543"/>
    <col min="1281" max="1281" width="10.5" style="543" bestFit="1" customWidth="1"/>
    <col min="1282" max="1536" width="8.875" style="543"/>
    <col min="1537" max="1537" width="10.5" style="543" bestFit="1" customWidth="1"/>
    <col min="1538" max="1792" width="8.875" style="543"/>
    <col min="1793" max="1793" width="10.5" style="543" bestFit="1" customWidth="1"/>
    <col min="1794" max="2048" width="8.875" style="543"/>
    <col min="2049" max="2049" width="10.5" style="543" bestFit="1" customWidth="1"/>
    <col min="2050" max="2304" width="8.875" style="543"/>
    <col min="2305" max="2305" width="10.5" style="543" bestFit="1" customWidth="1"/>
    <col min="2306" max="2560" width="8.875" style="543"/>
    <col min="2561" max="2561" width="10.5" style="543" bestFit="1" customWidth="1"/>
    <col min="2562" max="2816" width="8.875" style="543"/>
    <col min="2817" max="2817" width="10.5" style="543" bestFit="1" customWidth="1"/>
    <col min="2818" max="3072" width="8.875" style="543"/>
    <col min="3073" max="3073" width="10.5" style="543" bestFit="1" customWidth="1"/>
    <col min="3074" max="3328" width="8.875" style="543"/>
    <col min="3329" max="3329" width="10.5" style="543" bestFit="1" customWidth="1"/>
    <col min="3330" max="3584" width="8.875" style="543"/>
    <col min="3585" max="3585" width="10.5" style="543" bestFit="1" customWidth="1"/>
    <col min="3586" max="3840" width="8.875" style="543"/>
    <col min="3841" max="3841" width="10.5" style="543" bestFit="1" customWidth="1"/>
    <col min="3842" max="4096" width="8.875" style="543"/>
    <col min="4097" max="4097" width="10.5" style="543" bestFit="1" customWidth="1"/>
    <col min="4098" max="4352" width="8.875" style="543"/>
    <col min="4353" max="4353" width="10.5" style="543" bestFit="1" customWidth="1"/>
    <col min="4354" max="4608" width="8.875" style="543"/>
    <col min="4609" max="4609" width="10.5" style="543" bestFit="1" customWidth="1"/>
    <col min="4610" max="4864" width="8.875" style="543"/>
    <col min="4865" max="4865" width="10.5" style="543" bestFit="1" customWidth="1"/>
    <col min="4866" max="5120" width="8.875" style="543"/>
    <col min="5121" max="5121" width="10.5" style="543" bestFit="1" customWidth="1"/>
    <col min="5122" max="5376" width="8.875" style="543"/>
    <col min="5377" max="5377" width="10.5" style="543" bestFit="1" customWidth="1"/>
    <col min="5378" max="5632" width="8.875" style="543"/>
    <col min="5633" max="5633" width="10.5" style="543" bestFit="1" customWidth="1"/>
    <col min="5634" max="5888" width="8.875" style="543"/>
    <col min="5889" max="5889" width="10.5" style="543" bestFit="1" customWidth="1"/>
    <col min="5890" max="6144" width="8.875" style="543"/>
    <col min="6145" max="6145" width="10.5" style="543" bestFit="1" customWidth="1"/>
    <col min="6146" max="6400" width="8.875" style="543"/>
    <col min="6401" max="6401" width="10.5" style="543" bestFit="1" customWidth="1"/>
    <col min="6402" max="6656" width="8.875" style="543"/>
    <col min="6657" max="6657" width="10.5" style="543" bestFit="1" customWidth="1"/>
    <col min="6658" max="6912" width="8.875" style="543"/>
    <col min="6913" max="6913" width="10.5" style="543" bestFit="1" customWidth="1"/>
    <col min="6914" max="7168" width="8.875" style="543"/>
    <col min="7169" max="7169" width="10.5" style="543" bestFit="1" customWidth="1"/>
    <col min="7170" max="7424" width="8.875" style="543"/>
    <col min="7425" max="7425" width="10.5" style="543" bestFit="1" customWidth="1"/>
    <col min="7426" max="7680" width="8.875" style="543"/>
    <col min="7681" max="7681" width="10.5" style="543" bestFit="1" customWidth="1"/>
    <col min="7682" max="7936" width="8.875" style="543"/>
    <col min="7937" max="7937" width="10.5" style="543" bestFit="1" customWidth="1"/>
    <col min="7938" max="8192" width="8.875" style="543"/>
    <col min="8193" max="8193" width="10.5" style="543" bestFit="1" customWidth="1"/>
    <col min="8194" max="8448" width="8.875" style="543"/>
    <col min="8449" max="8449" width="10.5" style="543" bestFit="1" customWidth="1"/>
    <col min="8450" max="8704" width="8.875" style="543"/>
    <col min="8705" max="8705" width="10.5" style="543" bestFit="1" customWidth="1"/>
    <col min="8706" max="8960" width="8.875" style="543"/>
    <col min="8961" max="8961" width="10.5" style="543" bestFit="1" customWidth="1"/>
    <col min="8962" max="9216" width="8.875" style="543"/>
    <col min="9217" max="9217" width="10.5" style="543" bestFit="1" customWidth="1"/>
    <col min="9218" max="9472" width="8.875" style="543"/>
    <col min="9473" max="9473" width="10.5" style="543" bestFit="1" customWidth="1"/>
    <col min="9474" max="9728" width="8.875" style="543"/>
    <col min="9729" max="9729" width="10.5" style="543" bestFit="1" customWidth="1"/>
    <col min="9730" max="9984" width="8.875" style="543"/>
    <col min="9985" max="9985" width="10.5" style="543" bestFit="1" customWidth="1"/>
    <col min="9986" max="10240" width="8.875" style="543"/>
    <col min="10241" max="10241" width="10.5" style="543" bestFit="1" customWidth="1"/>
    <col min="10242" max="10496" width="8.875" style="543"/>
    <col min="10497" max="10497" width="10.5" style="543" bestFit="1" customWidth="1"/>
    <col min="10498" max="10752" width="8.875" style="543"/>
    <col min="10753" max="10753" width="10.5" style="543" bestFit="1" customWidth="1"/>
    <col min="10754" max="11008" width="8.875" style="543"/>
    <col min="11009" max="11009" width="10.5" style="543" bestFit="1" customWidth="1"/>
    <col min="11010" max="11264" width="8.875" style="543"/>
    <col min="11265" max="11265" width="10.5" style="543" bestFit="1" customWidth="1"/>
    <col min="11266" max="11520" width="8.875" style="543"/>
    <col min="11521" max="11521" width="10.5" style="543" bestFit="1" customWidth="1"/>
    <col min="11522" max="11776" width="8.875" style="543"/>
    <col min="11777" max="11777" width="10.5" style="543" bestFit="1" customWidth="1"/>
    <col min="11778" max="12032" width="8.875" style="543"/>
    <col min="12033" max="12033" width="10.5" style="543" bestFit="1" customWidth="1"/>
    <col min="12034" max="12288" width="8.875" style="543"/>
    <col min="12289" max="12289" width="10.5" style="543" bestFit="1" customWidth="1"/>
    <col min="12290" max="12544" width="8.875" style="543"/>
    <col min="12545" max="12545" width="10.5" style="543" bestFit="1" customWidth="1"/>
    <col min="12546" max="12800" width="8.875" style="543"/>
    <col min="12801" max="12801" width="10.5" style="543" bestFit="1" customWidth="1"/>
    <col min="12802" max="13056" width="8.875" style="543"/>
    <col min="13057" max="13057" width="10.5" style="543" bestFit="1" customWidth="1"/>
    <col min="13058" max="13312" width="8.875" style="543"/>
    <col min="13313" max="13313" width="10.5" style="543" bestFit="1" customWidth="1"/>
    <col min="13314" max="13568" width="8.875" style="543"/>
    <col min="13569" max="13569" width="10.5" style="543" bestFit="1" customWidth="1"/>
    <col min="13570" max="13824" width="8.875" style="543"/>
    <col min="13825" max="13825" width="10.5" style="543" bestFit="1" customWidth="1"/>
    <col min="13826" max="14080" width="8.875" style="543"/>
    <col min="14081" max="14081" width="10.5" style="543" bestFit="1" customWidth="1"/>
    <col min="14082" max="14336" width="8.875" style="543"/>
    <col min="14337" max="14337" width="10.5" style="543" bestFit="1" customWidth="1"/>
    <col min="14338" max="14592" width="8.875" style="543"/>
    <col min="14593" max="14593" width="10.5" style="543" bestFit="1" customWidth="1"/>
    <col min="14594" max="14848" width="8.875" style="543"/>
    <col min="14849" max="14849" width="10.5" style="543" bestFit="1" customWidth="1"/>
    <col min="14850" max="15104" width="8.875" style="543"/>
    <col min="15105" max="15105" width="10.5" style="543" bestFit="1" customWidth="1"/>
    <col min="15106" max="15360" width="8.875" style="543"/>
    <col min="15361" max="15361" width="10.5" style="543" bestFit="1" customWidth="1"/>
    <col min="15362" max="15616" width="8.875" style="543"/>
    <col min="15617" max="15617" width="10.5" style="543" bestFit="1" customWidth="1"/>
    <col min="15618" max="15872" width="8.875" style="543"/>
    <col min="15873" max="15873" width="10.5" style="543" bestFit="1" customWidth="1"/>
    <col min="15874" max="16128" width="8.875" style="543"/>
    <col min="16129" max="16129" width="10.5" style="543" bestFit="1" customWidth="1"/>
    <col min="16130" max="16384" width="8.875" style="543"/>
  </cols>
  <sheetData>
    <row r="3" spans="1:8">
      <c r="A3" s="549" t="s">
        <v>710</v>
      </c>
      <c r="B3" s="548"/>
      <c r="C3" s="548"/>
      <c r="D3" s="548"/>
      <c r="E3" s="548" t="s">
        <v>709</v>
      </c>
      <c r="F3" s="548" t="s">
        <v>708</v>
      </c>
      <c r="G3" s="548" t="s">
        <v>707</v>
      </c>
      <c r="H3" s="548"/>
    </row>
    <row r="4" spans="1:8">
      <c r="A4" s="550">
        <v>41153</v>
      </c>
      <c r="B4" s="548"/>
      <c r="C4" s="548"/>
      <c r="D4" s="548"/>
      <c r="E4" s="548"/>
      <c r="F4" s="548"/>
      <c r="G4" s="548"/>
      <c r="H4" s="548"/>
    </row>
    <row r="5" spans="1:8">
      <c r="A5" s="548" t="s">
        <v>706</v>
      </c>
      <c r="B5" s="548" t="s">
        <v>705</v>
      </c>
      <c r="C5" s="548" t="s">
        <v>704</v>
      </c>
      <c r="D5" s="548"/>
      <c r="E5" s="548"/>
      <c r="F5" s="548" t="s">
        <v>703</v>
      </c>
      <c r="G5" s="548" t="s">
        <v>702</v>
      </c>
      <c r="H5" s="548"/>
    </row>
    <row r="6" spans="1:8">
      <c r="A6" s="549" t="s">
        <v>701</v>
      </c>
      <c r="B6" s="548"/>
      <c r="C6" s="548"/>
      <c r="D6" s="548"/>
      <c r="E6" s="548"/>
      <c r="F6" s="548"/>
      <c r="G6" s="548"/>
      <c r="H6" s="548"/>
    </row>
    <row r="8" spans="1:8">
      <c r="A8" s="547" t="s">
        <v>700</v>
      </c>
      <c r="B8" s="547"/>
      <c r="C8" s="547" t="s">
        <v>699</v>
      </c>
      <c r="D8" s="545"/>
      <c r="E8" s="545"/>
      <c r="F8" s="545"/>
      <c r="G8" s="545"/>
      <c r="H8" s="545"/>
    </row>
    <row r="9" spans="1:8">
      <c r="A9" s="719" t="s">
        <v>1093</v>
      </c>
      <c r="B9" s="545"/>
      <c r="C9" s="545" t="s">
        <v>698</v>
      </c>
      <c r="D9" s="545"/>
      <c r="E9" s="545"/>
      <c r="F9" s="545"/>
      <c r="G9" s="545"/>
      <c r="H9" s="545"/>
    </row>
    <row r="10" spans="1:8">
      <c r="A10" s="545" t="s">
        <v>697</v>
      </c>
      <c r="B10" s="545"/>
      <c r="C10" s="546" t="s">
        <v>696</v>
      </c>
      <c r="D10" s="545"/>
      <c r="E10" s="545"/>
      <c r="F10" s="545"/>
      <c r="G10" s="545"/>
      <c r="H10" s="545"/>
    </row>
    <row r="11" spans="1:8">
      <c r="A11" s="545" t="s">
        <v>695</v>
      </c>
      <c r="B11" s="545"/>
      <c r="C11" s="546" t="s">
        <v>694</v>
      </c>
      <c r="D11" s="545"/>
      <c r="E11" s="545"/>
      <c r="F11" s="545"/>
      <c r="G11" s="545"/>
      <c r="H11" s="545"/>
    </row>
    <row r="12" spans="1:8">
      <c r="A12" s="545"/>
      <c r="B12" s="545"/>
      <c r="C12" s="546"/>
      <c r="D12" s="545"/>
      <c r="E12" s="545"/>
      <c r="F12" s="545"/>
      <c r="G12" s="545"/>
      <c r="H12" s="545"/>
    </row>
    <row r="13" spans="1:8">
      <c r="A13" s="546"/>
      <c r="B13" s="545"/>
      <c r="C13" s="546"/>
      <c r="D13" s="545"/>
      <c r="E13" s="545"/>
      <c r="F13" s="545"/>
      <c r="G13" s="545"/>
      <c r="H13" s="545"/>
    </row>
    <row r="14" spans="1:8">
      <c r="A14" s="546"/>
      <c r="B14" s="545"/>
      <c r="C14" s="546"/>
      <c r="D14" s="545"/>
      <c r="E14" s="545"/>
      <c r="F14" s="545"/>
      <c r="G14" s="545"/>
      <c r="H14" s="545"/>
    </row>
    <row r="15" spans="1:8">
      <c r="A15" s="546"/>
      <c r="B15" s="545"/>
      <c r="C15" s="546"/>
      <c r="D15" s="545"/>
      <c r="E15" s="545"/>
      <c r="F15" s="545"/>
      <c r="G15" s="545"/>
      <c r="H15" s="545"/>
    </row>
    <row r="16" spans="1:8">
      <c r="A16" s="546"/>
      <c r="B16" s="545"/>
      <c r="C16" s="546"/>
      <c r="D16" s="545"/>
      <c r="E16" s="545"/>
      <c r="F16" s="545"/>
      <c r="G16" s="545"/>
      <c r="H16" s="545"/>
    </row>
    <row r="17" spans="1:3">
      <c r="A17" s="544"/>
      <c r="C17" s="544"/>
    </row>
    <row r="20" spans="1:3">
      <c r="A20" s="544"/>
      <c r="C20" s="544"/>
    </row>
    <row r="21" spans="1:3">
      <c r="A21" s="544"/>
      <c r="C21" s="544"/>
    </row>
    <row r="22" spans="1:3">
      <c r="C22" s="544"/>
    </row>
    <row r="23" spans="1:3">
      <c r="A23" s="544"/>
      <c r="C23" s="544"/>
    </row>
  </sheetData>
  <phoneticPr fontId="6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2:F23"/>
  <sheetViews>
    <sheetView workbookViewId="0">
      <selection activeCell="B7" sqref="B7"/>
    </sheetView>
  </sheetViews>
  <sheetFormatPr defaultColWidth="8.875" defaultRowHeight="13.5"/>
  <cols>
    <col min="1" max="1" width="14.125" style="543" customWidth="1"/>
    <col min="2" max="2" width="9.5" style="543" bestFit="1" customWidth="1"/>
    <col min="3" max="16384" width="8.875" style="543"/>
  </cols>
  <sheetData>
    <row r="2" spans="1:5">
      <c r="A2" s="543" t="s">
        <v>726</v>
      </c>
    </row>
    <row r="3" spans="1:5">
      <c r="A3" s="543" t="s">
        <v>719</v>
      </c>
    </row>
    <row r="4" spans="1:5">
      <c r="A4" s="559" t="s">
        <v>718</v>
      </c>
      <c r="B4" s="558"/>
    </row>
    <row r="5" spans="1:5">
      <c r="A5" s="557" t="s">
        <v>717</v>
      </c>
      <c r="B5" s="556"/>
    </row>
    <row r="6" spans="1:5">
      <c r="A6" s="555" t="s">
        <v>716</v>
      </c>
      <c r="B6" s="553">
        <f>B7/2+B8/2</f>
        <v>119.65811965811966</v>
      </c>
    </row>
    <row r="7" spans="1:5" ht="15.75">
      <c r="A7" s="554" t="s">
        <v>725</v>
      </c>
      <c r="B7" s="561">
        <f>100/78*100</f>
        <v>128.2051282051282</v>
      </c>
      <c r="E7" s="551" t="s">
        <v>724</v>
      </c>
    </row>
    <row r="8" spans="1:5" ht="15.75">
      <c r="A8" s="554" t="s">
        <v>723</v>
      </c>
      <c r="B8" s="560">
        <f>100/90*100</f>
        <v>111.11111111111111</v>
      </c>
      <c r="E8" s="551" t="s">
        <v>722</v>
      </c>
    </row>
    <row r="9" spans="1:5" ht="14.25">
      <c r="E9" s="551" t="s">
        <v>721</v>
      </c>
    </row>
    <row r="11" spans="1:5">
      <c r="A11" s="543" t="s">
        <v>720</v>
      </c>
    </row>
    <row r="12" spans="1:5">
      <c r="A12" s="543" t="s">
        <v>719</v>
      </c>
    </row>
    <row r="13" spans="1:5">
      <c r="A13" s="559" t="s">
        <v>718</v>
      </c>
      <c r="B13" s="558"/>
    </row>
    <row r="14" spans="1:5">
      <c r="A14" s="557" t="s">
        <v>717</v>
      </c>
      <c r="B14" s="556"/>
    </row>
    <row r="15" spans="1:5">
      <c r="A15" s="555" t="s">
        <v>716</v>
      </c>
      <c r="B15" s="553">
        <v>110</v>
      </c>
    </row>
    <row r="16" spans="1:5" ht="14.25">
      <c r="A16" s="554" t="s">
        <v>715</v>
      </c>
      <c r="B16" s="543">
        <v>115</v>
      </c>
      <c r="E16" s="551" t="s">
        <v>714</v>
      </c>
    </row>
    <row r="17" spans="1:6" ht="15.75">
      <c r="A17" s="554" t="s">
        <v>713</v>
      </c>
      <c r="B17" s="543">
        <v>105</v>
      </c>
      <c r="E17" s="551" t="s">
        <v>712</v>
      </c>
    </row>
    <row r="19" spans="1:6">
      <c r="B19" s="553">
        <f>48.6/(42.8*0.9)</f>
        <v>1.2616822429906545</v>
      </c>
    </row>
    <row r="20" spans="1:6">
      <c r="E20" s="552" t="s">
        <v>711</v>
      </c>
    </row>
    <row r="23" spans="1:6" ht="14.25">
      <c r="F23" s="551"/>
    </row>
  </sheetData>
  <phoneticPr fontId="60" type="noConversion"/>
  <hyperlinks>
    <hyperlink ref="E9" r:id="rId1" display="http://wenku.baidu.com/view/75a1357e168884868762d6ba.html"/>
    <hyperlink ref="E16" location="_ftn1" display="_ftn1"/>
    <hyperlink ref="E20" location="_ftnref1" display="_ftnref1"/>
  </hyperlinks>
  <pageMargins left="0.7" right="0.7" top="0.75" bottom="0.75" header="0.3" footer="0.3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B7" sqref="B7"/>
    </sheetView>
  </sheetViews>
  <sheetFormatPr defaultColWidth="8.875" defaultRowHeight="13.5"/>
  <cols>
    <col min="1" max="1" width="15.75" style="543" customWidth="1"/>
    <col min="2" max="2" width="10.625" style="543" customWidth="1"/>
    <col min="3" max="16384" width="8.875" style="543"/>
  </cols>
  <sheetData>
    <row r="1" spans="1:15">
      <c r="G1" s="559" t="s">
        <v>780</v>
      </c>
      <c r="H1" s="566"/>
      <c r="I1" s="566"/>
      <c r="J1" s="558"/>
      <c r="L1" s="559" t="s">
        <v>779</v>
      </c>
      <c r="M1" s="566"/>
      <c r="N1" s="566"/>
      <c r="O1" s="558"/>
    </row>
    <row r="2" spans="1:15">
      <c r="B2" s="559" t="s">
        <v>778</v>
      </c>
      <c r="C2" s="566" t="s">
        <v>777</v>
      </c>
      <c r="D2" s="566"/>
      <c r="E2" s="558" t="s">
        <v>776</v>
      </c>
      <c r="G2" s="557" t="str">
        <f>B2</f>
        <v>WTW GHG</v>
      </c>
      <c r="H2" s="565" t="str">
        <f>C2</f>
        <v>单位距离能耗</v>
      </c>
      <c r="I2" s="565"/>
      <c r="J2" s="556" t="str">
        <f>E2</f>
        <v>减碳比例</v>
      </c>
      <c r="L2" s="557" t="str">
        <f>G2</f>
        <v>WTW GHG</v>
      </c>
      <c r="M2" s="565" t="str">
        <f>H2</f>
        <v>单位距离能耗</v>
      </c>
      <c r="N2" s="565"/>
      <c r="O2" s="556" t="str">
        <f>J2</f>
        <v>减碳比例</v>
      </c>
    </row>
    <row r="3" spans="1:15" ht="16.5">
      <c r="B3" s="557" t="s">
        <v>775</v>
      </c>
      <c r="C3" s="565" t="s">
        <v>774</v>
      </c>
      <c r="D3" s="565"/>
      <c r="E3" s="556"/>
      <c r="G3" s="557" t="str">
        <f>B3</f>
        <v>g CO2,e/MJ</v>
      </c>
      <c r="H3" s="565" t="str">
        <f>C3</f>
        <v>柴油=100</v>
      </c>
      <c r="I3" s="565"/>
      <c r="J3" s="556"/>
      <c r="L3" s="557" t="str">
        <f>G3</f>
        <v>g CO2,e/MJ</v>
      </c>
      <c r="M3" s="565" t="str">
        <f>H3</f>
        <v>柴油=100</v>
      </c>
      <c r="N3" s="565"/>
      <c r="O3" s="556"/>
    </row>
    <row r="4" spans="1:15">
      <c r="A4" s="543" t="str">
        <f>'NG-based (2)'!B16</f>
        <v>LNG车(海外进口)</v>
      </c>
      <c r="B4" s="603">
        <f>'fuel summary'!J44</f>
        <v>75.320969005514741</v>
      </c>
      <c r="C4" s="567">
        <f>'Key Input (商用)'!B6</f>
        <v>119.65811965811966</v>
      </c>
      <c r="D4" s="565"/>
      <c r="E4" s="602">
        <f>1-(B4*C4)/(B7*C7)</f>
        <v>2.9553570083536318E-2</v>
      </c>
      <c r="G4" s="603">
        <f>B4</f>
        <v>75.320969005514741</v>
      </c>
      <c r="H4" s="567">
        <f>'Key Input (商用)'!B7</f>
        <v>128.2051282051282</v>
      </c>
      <c r="I4" s="565"/>
      <c r="J4" s="602">
        <f>1-(G4*H4)/(G7*H7)</f>
        <v>-3.9764032053354104E-2</v>
      </c>
      <c r="L4" s="603">
        <f>G4</f>
        <v>75.320969005514741</v>
      </c>
      <c r="M4" s="567">
        <f>'Key Input (商用)'!B8</f>
        <v>111.11111111111111</v>
      </c>
      <c r="N4" s="565"/>
      <c r="O4" s="602">
        <f>1-(L4*M4)/(L7*M7)</f>
        <v>9.8871172220426629E-2</v>
      </c>
    </row>
    <row r="5" spans="1:15">
      <c r="A5" s="543" t="str">
        <f>'NG-based (2)'!B17</f>
        <v>LNG车(井口液化)</v>
      </c>
      <c r="B5" s="603">
        <f>'fuel summary'!J57</f>
        <v>77.634378607224903</v>
      </c>
      <c r="C5" s="567">
        <f>C4</f>
        <v>119.65811965811966</v>
      </c>
      <c r="D5" s="565"/>
      <c r="E5" s="602">
        <f>1-(B5*C5)/(B7*C7)</f>
        <v>-2.5273908316769678E-4</v>
      </c>
      <c r="G5" s="603">
        <f>B5</f>
        <v>77.634378607224903</v>
      </c>
      <c r="H5" s="567">
        <f>H4</f>
        <v>128.2051282051282</v>
      </c>
      <c r="I5" s="565"/>
      <c r="J5" s="602">
        <f>1-(G5*H5)/(G7*H7)</f>
        <v>-7.1699363303393993E-2</v>
      </c>
      <c r="L5" s="603">
        <f>G5</f>
        <v>77.634378607224903</v>
      </c>
      <c r="M5" s="567">
        <f>M4</f>
        <v>111.11111111111111</v>
      </c>
      <c r="N5" s="565"/>
      <c r="O5" s="602">
        <f>1-(L5*M5)/(L7*M7)</f>
        <v>7.1193885137058488E-2</v>
      </c>
    </row>
    <row r="6" spans="1:15">
      <c r="A6" s="543" t="str">
        <f>'NG-based (2)'!B18</f>
        <v>LNG车(管道气液化)</v>
      </c>
      <c r="B6" s="603">
        <f>'fuel summary'!J70</f>
        <v>78.637319127677728</v>
      </c>
      <c r="C6" s="567">
        <f>C5</f>
        <v>119.65811965811966</v>
      </c>
      <c r="D6" s="565"/>
      <c r="E6" s="602">
        <f>1-(B6*C6)/(B7*C7)</f>
        <v>-1.3174772088621278E-2</v>
      </c>
      <c r="G6" s="603">
        <f>B6</f>
        <v>78.637319127677728</v>
      </c>
      <c r="H6" s="567">
        <f>H5</f>
        <v>128.2051282051282</v>
      </c>
      <c r="I6" s="565"/>
      <c r="J6" s="602">
        <f>1-(G6*H6)/(G7*H7)</f>
        <v>-8.5544398666379973E-2</v>
      </c>
      <c r="L6" s="603">
        <f>G6</f>
        <v>78.637319127677728</v>
      </c>
      <c r="M6" s="567">
        <f>M5</f>
        <v>111.11111111111111</v>
      </c>
      <c r="N6" s="565"/>
      <c r="O6" s="602">
        <f>1-(L6*M6)/(L7*M7)</f>
        <v>5.9194854489137416E-2</v>
      </c>
    </row>
    <row r="7" spans="1:15">
      <c r="A7" s="543" t="s">
        <v>773</v>
      </c>
      <c r="B7" s="564">
        <f>'fuel summary'!J98</f>
        <v>92.872365173245328</v>
      </c>
      <c r="C7" s="601">
        <v>100</v>
      </c>
      <c r="D7" s="563"/>
      <c r="E7" s="562" t="s">
        <v>772</v>
      </c>
      <c r="G7" s="564">
        <f>B7</f>
        <v>92.872365173245328</v>
      </c>
      <c r="H7" s="601">
        <f>C7</f>
        <v>100</v>
      </c>
      <c r="I7" s="563"/>
      <c r="J7" s="562" t="str">
        <f>E7</f>
        <v>-</v>
      </c>
      <c r="L7" s="564">
        <f>G7</f>
        <v>92.872365173245328</v>
      </c>
      <c r="M7" s="601">
        <f>H7</f>
        <v>100</v>
      </c>
      <c r="N7" s="563"/>
      <c r="O7" s="562" t="str">
        <f>J7</f>
        <v>-</v>
      </c>
    </row>
  </sheetData>
  <phoneticPr fontId="60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selection activeCell="B4" sqref="B4"/>
    </sheetView>
  </sheetViews>
  <sheetFormatPr defaultColWidth="8.875" defaultRowHeight="13.5"/>
  <cols>
    <col min="1" max="16384" width="8.875" style="543"/>
  </cols>
  <sheetData>
    <row r="1" spans="1:15">
      <c r="G1" s="559" t="s">
        <v>791</v>
      </c>
      <c r="H1" s="566"/>
      <c r="I1" s="566"/>
      <c r="J1" s="558"/>
      <c r="L1" s="559" t="s">
        <v>790</v>
      </c>
      <c r="M1" s="566"/>
      <c r="N1" s="566"/>
      <c r="O1" s="558"/>
    </row>
    <row r="2" spans="1:15">
      <c r="B2" s="559" t="s">
        <v>789</v>
      </c>
      <c r="C2" s="566" t="s">
        <v>788</v>
      </c>
      <c r="D2" s="566"/>
      <c r="E2" s="558" t="s">
        <v>787</v>
      </c>
      <c r="G2" s="557" t="str">
        <f>B2</f>
        <v>WTW GHG</v>
      </c>
      <c r="H2" s="565" t="str">
        <f>C2</f>
        <v>单位距离能耗</v>
      </c>
      <c r="I2" s="565"/>
      <c r="J2" s="556" t="str">
        <f>E2</f>
        <v>减碳比例</v>
      </c>
      <c r="L2" s="557" t="str">
        <f>G2</f>
        <v>WTW GHG</v>
      </c>
      <c r="M2" s="565" t="str">
        <f>H2</f>
        <v>单位距离能耗</v>
      </c>
      <c r="N2" s="565"/>
      <c r="O2" s="556" t="str">
        <f>J2</f>
        <v>减碳比例</v>
      </c>
    </row>
    <row r="3" spans="1:15" ht="16.5">
      <c r="B3" s="557" t="s">
        <v>786</v>
      </c>
      <c r="C3" s="565" t="s">
        <v>785</v>
      </c>
      <c r="D3" s="565"/>
      <c r="E3" s="556"/>
      <c r="G3" s="557" t="str">
        <f>B3</f>
        <v>g CO2,e/MJ</v>
      </c>
      <c r="H3" s="565" t="str">
        <f>C3</f>
        <v>柴油=100</v>
      </c>
      <c r="I3" s="565"/>
      <c r="J3" s="556"/>
      <c r="L3" s="557" t="str">
        <f>G3</f>
        <v>g CO2,e/MJ</v>
      </c>
      <c r="M3" s="565" t="str">
        <f>H3</f>
        <v>柴油=100</v>
      </c>
      <c r="N3" s="565"/>
      <c r="O3" s="556"/>
    </row>
    <row r="4" spans="1:15">
      <c r="A4" s="543" t="s">
        <v>784</v>
      </c>
      <c r="B4" s="605">
        <f>'fuel summary'!J44</f>
        <v>75.320969005514741</v>
      </c>
      <c r="C4" s="567">
        <f>'Key Input (商用)'!B15</f>
        <v>110</v>
      </c>
      <c r="D4" s="565"/>
      <c r="E4" s="602">
        <f>1-(B4*C4)/(B7*C7)</f>
        <v>0.10788246049822214</v>
      </c>
      <c r="G4" s="603">
        <f>B4</f>
        <v>75.320969005514741</v>
      </c>
      <c r="H4" s="567">
        <f>'Key Input (商用)'!B16</f>
        <v>115</v>
      </c>
      <c r="I4" s="565"/>
      <c r="J4" s="602">
        <f>1-(G4*H4)/(G7*H7)</f>
        <v>6.7331663248141549E-2</v>
      </c>
      <c r="L4" s="603">
        <f>G4</f>
        <v>75.320969005514741</v>
      </c>
      <c r="M4" s="567">
        <f>'Key Input (商用)'!B17</f>
        <v>105</v>
      </c>
      <c r="N4" s="565"/>
      <c r="O4" s="602">
        <f>1-(L4*M4)/(L7*M7)</f>
        <v>0.14843325774830307</v>
      </c>
    </row>
    <row r="5" spans="1:15">
      <c r="A5" s="543" t="s">
        <v>783</v>
      </c>
      <c r="B5" s="605">
        <f>'fuel summary'!J57</f>
        <v>77.634378607224903</v>
      </c>
      <c r="C5" s="567">
        <f>C4</f>
        <v>110</v>
      </c>
      <c r="D5" s="565"/>
      <c r="E5" s="602">
        <f>1-(B5*C5)/(B7*C7)</f>
        <v>8.0481946285687944E-2</v>
      </c>
      <c r="G5" s="603">
        <f>B5</f>
        <v>77.634378607224903</v>
      </c>
      <c r="H5" s="567">
        <f>H4</f>
        <v>115</v>
      </c>
      <c r="I5" s="565"/>
      <c r="J5" s="602">
        <f>1-(G5*H5)/(G7*H7)</f>
        <v>3.8685671116855724E-2</v>
      </c>
      <c r="L5" s="603">
        <f>G5</f>
        <v>77.634378607224903</v>
      </c>
      <c r="M5" s="567">
        <f>M4</f>
        <v>105</v>
      </c>
      <c r="N5" s="565"/>
      <c r="O5" s="602">
        <f>1-(L5*M5)/(L7*M7)</f>
        <v>0.12227822145452039</v>
      </c>
    </row>
    <row r="6" spans="1:15">
      <c r="A6" s="543" t="s">
        <v>782</v>
      </c>
      <c r="B6" s="605">
        <f>'fuel summary'!J70</f>
        <v>78.637319127677728</v>
      </c>
      <c r="C6" s="567">
        <f>C5</f>
        <v>110</v>
      </c>
      <c r="D6" s="565"/>
      <c r="E6" s="602">
        <f>1-(B6*C6)/(B7*C7)</f>
        <v>6.8602905944246007E-2</v>
      </c>
      <c r="G6" s="603">
        <f>B6</f>
        <v>78.637319127677728</v>
      </c>
      <c r="H6" s="567">
        <f>H5</f>
        <v>115</v>
      </c>
      <c r="I6" s="565"/>
      <c r="J6" s="602">
        <f>1-(G6*H6)/(G7*H7)</f>
        <v>2.6266674396257184E-2</v>
      </c>
      <c r="L6" s="603">
        <f>G6</f>
        <v>78.637319127677728</v>
      </c>
      <c r="M6" s="567">
        <f>M5</f>
        <v>105</v>
      </c>
      <c r="N6" s="565"/>
      <c r="O6" s="602">
        <f>1-(L6*M6)/(L7*M7)</f>
        <v>0.11093913749223494</v>
      </c>
    </row>
    <row r="7" spans="1:15">
      <c r="A7" s="543" t="s">
        <v>781</v>
      </c>
      <c r="B7" s="604">
        <f>'fuel summary'!J98</f>
        <v>92.872365173245328</v>
      </c>
      <c r="C7" s="601">
        <v>100</v>
      </c>
      <c r="D7" s="563"/>
      <c r="E7" s="562" t="s">
        <v>772</v>
      </c>
      <c r="G7" s="564">
        <f>B7</f>
        <v>92.872365173245328</v>
      </c>
      <c r="H7" s="601">
        <f>C7</f>
        <v>100</v>
      </c>
      <c r="I7" s="563"/>
      <c r="J7" s="562" t="str">
        <f>E7</f>
        <v>-</v>
      </c>
      <c r="L7" s="564">
        <f>G7</f>
        <v>92.872365173245328</v>
      </c>
      <c r="M7" s="601">
        <f>H7</f>
        <v>100</v>
      </c>
      <c r="N7" s="563"/>
      <c r="O7" s="562" t="str">
        <f>J7</f>
        <v>-</v>
      </c>
    </row>
    <row r="9" spans="1:15">
      <c r="A9" s="722" t="s">
        <v>1104</v>
      </c>
      <c r="B9" s="679">
        <f>B7-('fuel summary'!H44+'fuel summary'!I44)</f>
        <v>35.26772500547969</v>
      </c>
    </row>
    <row r="10" spans="1:15">
      <c r="A10" s="722" t="s">
        <v>1105</v>
      </c>
      <c r="B10" s="602">
        <f>B9/B7</f>
        <v>0.37974401685249226</v>
      </c>
    </row>
  </sheetData>
  <phoneticPr fontId="60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V32"/>
  <sheetViews>
    <sheetView workbookViewId="0">
      <selection activeCell="H11" sqref="H11:M15"/>
    </sheetView>
  </sheetViews>
  <sheetFormatPr defaultRowHeight="13.5"/>
  <cols>
    <col min="5" max="5" width="12.75" bestFit="1" customWidth="1"/>
  </cols>
  <sheetData>
    <row r="2" spans="1:17" ht="14.25" thickBot="1">
      <c r="A2" s="535" t="s">
        <v>1083</v>
      </c>
      <c r="B2" t="s">
        <v>641</v>
      </c>
      <c r="H2" s="535" t="s">
        <v>1084</v>
      </c>
      <c r="I2" s="535" t="s">
        <v>925</v>
      </c>
      <c r="O2" s="535"/>
    </row>
    <row r="3" spans="1:17">
      <c r="A3" s="661">
        <v>1</v>
      </c>
      <c r="B3" s="37" t="s">
        <v>642</v>
      </c>
      <c r="C3" s="37"/>
      <c r="D3" s="37"/>
      <c r="E3" s="37"/>
      <c r="F3" s="38"/>
      <c r="H3" s="661">
        <v>1</v>
      </c>
      <c r="I3" s="666" t="s">
        <v>924</v>
      </c>
      <c r="J3" s="37"/>
      <c r="K3" s="37"/>
      <c r="L3" s="37"/>
      <c r="M3" s="38"/>
      <c r="O3" s="535"/>
      <c r="Q3" s="535"/>
    </row>
    <row r="4" spans="1:17">
      <c r="A4" s="662">
        <v>1.1000000000000001</v>
      </c>
      <c r="B4" s="35" t="s">
        <v>647</v>
      </c>
      <c r="C4" s="35"/>
      <c r="D4" s="35"/>
      <c r="E4" s="361">
        <v>0.96</v>
      </c>
      <c r="F4" s="40" t="s">
        <v>643</v>
      </c>
      <c r="H4" s="662">
        <v>1.1000000000000001</v>
      </c>
      <c r="I4" s="529" t="s">
        <v>521</v>
      </c>
      <c r="J4" s="35"/>
      <c r="K4" s="35"/>
      <c r="L4" s="669">
        <f>93%</f>
        <v>0.93</v>
      </c>
      <c r="M4" s="40" t="s">
        <v>643</v>
      </c>
      <c r="O4" s="535"/>
    </row>
    <row r="5" spans="1:17">
      <c r="A5" s="662">
        <v>1.2</v>
      </c>
      <c r="B5" s="35" t="s">
        <v>648</v>
      </c>
      <c r="C5" s="35"/>
      <c r="D5" s="35"/>
      <c r="E5" s="361">
        <v>0.94</v>
      </c>
      <c r="F5" s="40" t="s">
        <v>643</v>
      </c>
      <c r="H5" s="664">
        <v>1.2</v>
      </c>
      <c r="I5" s="538" t="s">
        <v>926</v>
      </c>
      <c r="J5" s="35"/>
      <c r="K5" s="35"/>
      <c r="L5" s="669">
        <v>0.99</v>
      </c>
      <c r="M5" s="40" t="s">
        <v>643</v>
      </c>
    </row>
    <row r="6" spans="1:17">
      <c r="A6" s="662">
        <v>1.3</v>
      </c>
      <c r="B6" s="529" t="s">
        <v>678</v>
      </c>
      <c r="C6" s="35"/>
      <c r="D6" s="35"/>
      <c r="E6" s="663">
        <f>0.072*47.7/1000</f>
        <v>3.4344000000000002E-3</v>
      </c>
      <c r="F6" s="40" t="s">
        <v>643</v>
      </c>
      <c r="H6" s="664">
        <v>1.3</v>
      </c>
      <c r="I6" s="667" t="s">
        <v>928</v>
      </c>
      <c r="J6" s="35"/>
      <c r="K6" s="35"/>
      <c r="L6" s="669">
        <v>0.89100000000000001</v>
      </c>
      <c r="M6" s="40" t="s">
        <v>643</v>
      </c>
    </row>
    <row r="7" spans="1:17" ht="14.25" thickBot="1">
      <c r="A7" s="662"/>
      <c r="B7" s="35"/>
      <c r="C7" s="35"/>
      <c r="D7" s="35"/>
      <c r="E7" s="35"/>
      <c r="F7" s="40"/>
      <c r="H7" s="665">
        <v>1.4</v>
      </c>
      <c r="I7" s="668" t="s">
        <v>927</v>
      </c>
      <c r="J7" s="42"/>
      <c r="K7" s="42"/>
      <c r="L7" s="670">
        <v>0.89700000000000002</v>
      </c>
      <c r="M7" s="40" t="s">
        <v>643</v>
      </c>
    </row>
    <row r="8" spans="1:17">
      <c r="A8" s="662">
        <v>1.4</v>
      </c>
      <c r="B8" s="35" t="s">
        <v>652</v>
      </c>
      <c r="C8" s="35"/>
      <c r="D8" s="35"/>
      <c r="E8" s="35">
        <v>300</v>
      </c>
      <c r="F8" s="40" t="s">
        <v>653</v>
      </c>
    </row>
    <row r="9" spans="1:17">
      <c r="A9" s="662">
        <v>1.5</v>
      </c>
      <c r="B9" s="35" t="s">
        <v>651</v>
      </c>
      <c r="C9" s="35"/>
      <c r="D9" s="35"/>
      <c r="E9" s="663">
        <f>96.9%</f>
        <v>0.96900000000000008</v>
      </c>
      <c r="F9" s="40" t="s">
        <v>643</v>
      </c>
    </row>
    <row r="10" spans="1:17">
      <c r="A10" s="662"/>
      <c r="B10" s="35"/>
      <c r="C10" s="35"/>
      <c r="D10" s="35"/>
      <c r="E10" s="35"/>
      <c r="F10" s="40"/>
    </row>
    <row r="11" spans="1:17">
      <c r="A11" s="662">
        <v>1.6</v>
      </c>
      <c r="B11" s="35" t="s">
        <v>644</v>
      </c>
      <c r="C11" s="35"/>
      <c r="D11" s="35"/>
      <c r="E11" s="64">
        <v>0.90200000000000002</v>
      </c>
      <c r="F11" s="40" t="s">
        <v>643</v>
      </c>
    </row>
    <row r="12" spans="1:17">
      <c r="A12" s="662">
        <v>1.7</v>
      </c>
      <c r="B12" s="35" t="s">
        <v>655</v>
      </c>
      <c r="C12" s="35"/>
      <c r="D12" s="35"/>
      <c r="E12" s="35">
        <v>6700</v>
      </c>
      <c r="F12" s="40" t="s">
        <v>653</v>
      </c>
    </row>
    <row r="13" spans="1:17">
      <c r="A13" s="662">
        <v>1.8</v>
      </c>
      <c r="B13" s="35" t="s">
        <v>645</v>
      </c>
      <c r="C13" s="35"/>
      <c r="D13" s="35"/>
      <c r="E13" s="64">
        <f>35.59/(0.5*3.6+35.59)</f>
        <v>0.95185878577159677</v>
      </c>
      <c r="F13" s="40" t="s">
        <v>643</v>
      </c>
    </row>
    <row r="14" spans="1:17">
      <c r="A14" s="662">
        <v>1.9</v>
      </c>
      <c r="B14" s="35" t="s">
        <v>646</v>
      </c>
      <c r="C14" s="35"/>
      <c r="D14" s="35"/>
      <c r="E14" s="64">
        <f>95.19%</f>
        <v>0.95189999999999997</v>
      </c>
      <c r="F14" s="40" t="s">
        <v>649</v>
      </c>
    </row>
    <row r="15" spans="1:17">
      <c r="A15" s="664">
        <v>1.1000000000000001</v>
      </c>
      <c r="B15" s="35" t="s">
        <v>656</v>
      </c>
      <c r="C15" s="35"/>
      <c r="D15" s="35"/>
      <c r="E15" s="35">
        <v>1500</v>
      </c>
      <c r="F15" s="40" t="s">
        <v>653</v>
      </c>
    </row>
    <row r="16" spans="1:17">
      <c r="A16" s="664">
        <v>1.1100000000000001</v>
      </c>
      <c r="B16" s="35" t="s">
        <v>654</v>
      </c>
      <c r="C16" s="35"/>
      <c r="D16" s="35"/>
      <c r="E16" s="35">
        <f>100</f>
        <v>100</v>
      </c>
      <c r="F16" s="40" t="s">
        <v>653</v>
      </c>
    </row>
    <row r="17" spans="1:22">
      <c r="A17" s="662"/>
      <c r="B17" s="35"/>
      <c r="C17" s="35"/>
      <c r="D17" s="35"/>
      <c r="E17" s="35"/>
      <c r="F17" s="40"/>
    </row>
    <row r="18" spans="1:22" ht="14.25" thickBot="1">
      <c r="A18" s="665">
        <v>1.1200000000000001</v>
      </c>
      <c r="B18" s="42" t="s">
        <v>657</v>
      </c>
      <c r="C18" s="42"/>
      <c r="D18" s="42"/>
      <c r="E18" s="68">
        <v>0.54200000000000004</v>
      </c>
      <c r="F18" s="43" t="s">
        <v>658</v>
      </c>
    </row>
    <row r="22" spans="1:22" ht="14.25" thickBot="1">
      <c r="A22" s="535" t="s">
        <v>1085</v>
      </c>
      <c r="B22" s="535" t="s">
        <v>929</v>
      </c>
    </row>
    <row r="23" spans="1:22">
      <c r="A23" s="36">
        <v>1.1000000000000001</v>
      </c>
      <c r="B23" s="666" t="s">
        <v>1062</v>
      </c>
      <c r="C23" s="37"/>
      <c r="D23" s="37"/>
      <c r="E23" s="37">
        <v>8</v>
      </c>
      <c r="F23" s="703" t="s">
        <v>1063</v>
      </c>
      <c r="J23" s="559" t="s">
        <v>718</v>
      </c>
      <c r="K23" s="558"/>
      <c r="L23" s="543"/>
      <c r="M23" s="751" t="s">
        <v>734</v>
      </c>
      <c r="N23" s="752"/>
      <c r="O23" s="752"/>
      <c r="P23" s="752"/>
      <c r="Q23" s="752"/>
      <c r="R23" s="565"/>
      <c r="S23" s="565"/>
      <c r="T23" s="565"/>
      <c r="U23" s="565"/>
      <c r="V23" s="556"/>
    </row>
    <row r="24" spans="1:22">
      <c r="A24" s="39">
        <v>1.2</v>
      </c>
      <c r="B24" s="538" t="s">
        <v>1070</v>
      </c>
      <c r="C24" s="35"/>
      <c r="D24" s="35"/>
      <c r="E24" s="35">
        <v>0.91</v>
      </c>
      <c r="F24" s="40"/>
      <c r="J24" s="557" t="s">
        <v>733</v>
      </c>
      <c r="K24" s="556"/>
      <c r="L24" s="543"/>
      <c r="M24" s="753" t="s">
        <v>729</v>
      </c>
      <c r="N24" s="754">
        <f>O27</f>
        <v>1.1080918884965025</v>
      </c>
      <c r="O24" s="755" t="s">
        <v>732</v>
      </c>
      <c r="P24" s="756"/>
      <c r="Q24" s="756"/>
      <c r="R24" s="566"/>
      <c r="S24" s="566"/>
      <c r="T24" s="558"/>
      <c r="U24" s="565"/>
      <c r="V24" s="556"/>
    </row>
    <row r="25" spans="1:22">
      <c r="A25" s="39">
        <v>1.3</v>
      </c>
      <c r="B25" s="538" t="s">
        <v>1064</v>
      </c>
      <c r="C25" s="35"/>
      <c r="D25" s="35"/>
      <c r="E25" s="417">
        <f>K25</f>
        <v>100.31147622178867</v>
      </c>
      <c r="F25" s="704" t="s">
        <v>1069</v>
      </c>
      <c r="J25" s="555" t="s">
        <v>716</v>
      </c>
      <c r="K25" s="553">
        <f>N29*100</f>
        <v>100.31147622178867</v>
      </c>
      <c r="L25" s="543"/>
      <c r="M25" s="753"/>
      <c r="N25" s="752"/>
      <c r="O25" s="753" t="s">
        <v>731</v>
      </c>
      <c r="P25" s="752"/>
      <c r="Q25" s="752"/>
      <c r="R25" s="565"/>
      <c r="S25" s="565"/>
      <c r="T25" s="556"/>
      <c r="U25" s="565"/>
      <c r="V25" s="556"/>
    </row>
    <row r="26" spans="1:22">
      <c r="A26" s="39">
        <v>1.4</v>
      </c>
      <c r="B26" s="538" t="s">
        <v>1071</v>
      </c>
      <c r="C26" s="35"/>
      <c r="D26" s="35"/>
      <c r="E26" s="417">
        <v>1.05</v>
      </c>
      <c r="F26" s="704"/>
      <c r="J26" s="565"/>
      <c r="K26" s="714"/>
      <c r="L26" s="543"/>
      <c r="M26" s="753"/>
      <c r="N26" s="752"/>
      <c r="O26" s="753"/>
      <c r="P26" s="752"/>
      <c r="Q26" s="752"/>
      <c r="R26" s="565"/>
      <c r="S26" s="565"/>
      <c r="T26" s="556"/>
      <c r="U26" s="565"/>
      <c r="V26" s="556"/>
    </row>
    <row r="27" spans="1:22">
      <c r="A27" s="706">
        <v>1.5</v>
      </c>
      <c r="B27" s="538" t="s">
        <v>1065</v>
      </c>
      <c r="C27" s="35"/>
      <c r="D27" s="35"/>
      <c r="E27" s="361">
        <v>2.9</v>
      </c>
      <c r="F27" s="40"/>
      <c r="J27" s="543"/>
      <c r="K27" s="543"/>
      <c r="L27" s="543"/>
      <c r="M27" s="753"/>
      <c r="N27" s="752"/>
      <c r="O27" s="757">
        <f>32*35.59/(28*0.835*43.96)</f>
        <v>1.1080918884965025</v>
      </c>
      <c r="P27" s="758"/>
      <c r="Q27" s="758"/>
      <c r="R27" s="563"/>
      <c r="S27" s="563"/>
      <c r="T27" s="562"/>
      <c r="U27" s="565"/>
      <c r="V27" s="556"/>
    </row>
    <row r="28" spans="1:22">
      <c r="A28" s="706">
        <v>1.6</v>
      </c>
      <c r="B28" s="667" t="s">
        <v>1066</v>
      </c>
      <c r="C28" s="35"/>
      <c r="D28" s="35"/>
      <c r="E28" s="417">
        <v>100</v>
      </c>
      <c r="F28" s="704" t="s">
        <v>1069</v>
      </c>
      <c r="J28" s="543"/>
      <c r="K28" s="543"/>
      <c r="L28" s="543"/>
      <c r="M28" s="753" t="s">
        <v>730</v>
      </c>
      <c r="N28" s="752"/>
      <c r="O28" s="752"/>
      <c r="P28" s="752"/>
      <c r="Q28" s="752"/>
      <c r="R28" s="565"/>
      <c r="S28" s="565"/>
      <c r="T28" s="565"/>
      <c r="U28" s="565"/>
      <c r="V28" s="556"/>
    </row>
    <row r="29" spans="1:22" ht="14.25" thickBot="1">
      <c r="A29" s="707">
        <v>1.7</v>
      </c>
      <c r="B29" s="668" t="s">
        <v>1067</v>
      </c>
      <c r="C29" s="42"/>
      <c r="D29" s="42"/>
      <c r="E29" s="708">
        <v>100</v>
      </c>
      <c r="F29" s="709" t="s">
        <v>1068</v>
      </c>
      <c r="J29" s="543"/>
      <c r="K29" s="543"/>
      <c r="L29" s="543"/>
      <c r="M29" s="753" t="s">
        <v>729</v>
      </c>
      <c r="N29" s="754">
        <f>N24*O31</f>
        <v>1.0031147622178866</v>
      </c>
      <c r="O29" s="752" t="s">
        <v>728</v>
      </c>
      <c r="P29" s="752"/>
      <c r="Q29" s="752"/>
      <c r="R29" s="565"/>
      <c r="S29" s="565"/>
      <c r="T29" s="565"/>
      <c r="U29" s="565"/>
      <c r="V29" s="556"/>
    </row>
    <row r="30" spans="1:22">
      <c r="J30" s="543"/>
      <c r="K30" s="543"/>
      <c r="L30" s="543"/>
      <c r="M30" s="753"/>
      <c r="N30" s="752"/>
      <c r="O30" s="755" t="s">
        <v>727</v>
      </c>
      <c r="P30" s="756"/>
      <c r="Q30" s="756"/>
      <c r="R30" s="566"/>
      <c r="S30" s="566"/>
      <c r="T30" s="566"/>
      <c r="U30" s="566"/>
      <c r="V30" s="558"/>
    </row>
    <row r="31" spans="1:22">
      <c r="J31" s="543"/>
      <c r="K31" s="543"/>
      <c r="L31" s="543"/>
      <c r="M31" s="753"/>
      <c r="N31" s="752"/>
      <c r="O31" s="757">
        <f>1.72/1.9</f>
        <v>0.90526315789473688</v>
      </c>
      <c r="P31" s="758"/>
      <c r="Q31" s="758"/>
      <c r="R31" s="563"/>
      <c r="S31" s="563"/>
      <c r="T31" s="563"/>
      <c r="U31" s="563"/>
      <c r="V31" s="562"/>
    </row>
    <row r="32" spans="1:22">
      <c r="J32" s="543"/>
      <c r="K32" s="543"/>
      <c r="L32" s="543"/>
      <c r="M32" s="759"/>
      <c r="N32" s="758"/>
      <c r="O32" s="758"/>
      <c r="P32" s="758"/>
      <c r="Q32" s="758"/>
      <c r="R32" s="563"/>
      <c r="S32" s="563"/>
      <c r="T32" s="563"/>
      <c r="U32" s="563"/>
      <c r="V32" s="562"/>
    </row>
  </sheetData>
  <phoneticPr fontId="40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9"/>
  <sheetViews>
    <sheetView topLeftCell="A10" workbookViewId="0">
      <selection sqref="A1:H26"/>
    </sheetView>
  </sheetViews>
  <sheetFormatPr defaultColWidth="8.875" defaultRowHeight="13.5"/>
  <cols>
    <col min="1" max="2" width="28.875" style="543" customWidth="1"/>
    <col min="3" max="3" width="21.875" style="543" customWidth="1"/>
    <col min="4" max="4" width="21.625" style="543" bestFit="1" customWidth="1"/>
    <col min="5" max="6" width="8.875" style="543"/>
    <col min="7" max="7" width="16.5" style="607" customWidth="1"/>
    <col min="8" max="8" width="17.5" style="607" customWidth="1"/>
    <col min="9" max="16384" width="8.875" style="543"/>
  </cols>
  <sheetData>
    <row r="1" spans="1:11" s="587" customFormat="1" ht="54">
      <c r="A1" s="623"/>
      <c r="B1" s="623"/>
      <c r="C1" s="673" t="s">
        <v>950</v>
      </c>
      <c r="D1" s="623" t="s">
        <v>822</v>
      </c>
      <c r="E1" s="621" t="s">
        <v>821</v>
      </c>
      <c r="F1" s="621" t="s">
        <v>820</v>
      </c>
      <c r="G1" s="622" t="s">
        <v>819</v>
      </c>
      <c r="H1" s="622" t="s">
        <v>818</v>
      </c>
      <c r="I1" s="621" t="s">
        <v>817</v>
      </c>
    </row>
    <row r="2" spans="1:11" s="587" customFormat="1" ht="27">
      <c r="A2" s="623"/>
      <c r="B2" s="623"/>
      <c r="C2" s="673" t="s">
        <v>951</v>
      </c>
      <c r="D2" s="673" t="s">
        <v>952</v>
      </c>
      <c r="E2" s="621"/>
      <c r="F2" s="621"/>
      <c r="G2" s="674" t="s">
        <v>953</v>
      </c>
      <c r="H2" s="674" t="s">
        <v>954</v>
      </c>
      <c r="I2" s="621"/>
    </row>
    <row r="3" spans="1:11">
      <c r="A3" s="616" t="s">
        <v>816</v>
      </c>
      <c r="B3" s="672" t="s">
        <v>931</v>
      </c>
      <c r="C3" s="615">
        <v>1</v>
      </c>
      <c r="D3" s="614">
        <f>1/C3</f>
        <v>1</v>
      </c>
      <c r="E3" s="610">
        <v>42.2</v>
      </c>
      <c r="F3" s="613">
        <v>0.74</v>
      </c>
      <c r="G3" s="612">
        <f>I3*D3/E3</f>
        <v>5.92</v>
      </c>
      <c r="H3" s="620">
        <f>'Key Input'!E23</f>
        <v>8</v>
      </c>
      <c r="I3" s="610">
        <f>H3*F3*E3</f>
        <v>249.82400000000001</v>
      </c>
    </row>
    <row r="4" spans="1:11">
      <c r="A4" s="616" t="s">
        <v>815</v>
      </c>
      <c r="B4" s="672" t="s">
        <v>932</v>
      </c>
      <c r="C4" s="615">
        <v>0.95</v>
      </c>
      <c r="D4" s="614">
        <f>1/C4</f>
        <v>1.0526315789473684</v>
      </c>
      <c r="E4" s="610">
        <v>43</v>
      </c>
      <c r="F4" s="613"/>
      <c r="G4" s="612">
        <f t="shared" ref="G4:G10" si="0">I4*D4/E4</f>
        <v>6.1156425948592412</v>
      </c>
      <c r="H4" s="612">
        <f>I4*D4/38.9</f>
        <v>6.7602218914896497</v>
      </c>
      <c r="I4" s="610">
        <f t="shared" ref="I4:I26" si="1">I3</f>
        <v>249.82400000000001</v>
      </c>
    </row>
    <row r="5" spans="1:11">
      <c r="A5" s="616" t="s">
        <v>814</v>
      </c>
      <c r="B5" s="672" t="s">
        <v>933</v>
      </c>
      <c r="C5" s="615">
        <f>1/D5</f>
        <v>9.9689490940099417E-3</v>
      </c>
      <c r="D5" s="614">
        <f>'Key Input'!K25</f>
        <v>100.31147622178867</v>
      </c>
      <c r="E5" s="610">
        <v>43</v>
      </c>
      <c r="F5" s="613"/>
      <c r="G5" s="612">
        <f t="shared" si="0"/>
        <v>582.79567989842178</v>
      </c>
      <c r="H5" s="612"/>
      <c r="I5" s="610">
        <f t="shared" si="1"/>
        <v>249.82400000000001</v>
      </c>
    </row>
    <row r="6" spans="1:11">
      <c r="A6" s="616" t="s">
        <v>813</v>
      </c>
      <c r="B6" s="672" t="s">
        <v>934</v>
      </c>
      <c r="C6" s="615">
        <v>1</v>
      </c>
      <c r="D6" s="614">
        <f>1/C6</f>
        <v>1</v>
      </c>
      <c r="E6" s="610">
        <v>50.2</v>
      </c>
      <c r="F6" s="613">
        <v>0.54</v>
      </c>
      <c r="G6" s="612">
        <f t="shared" si="0"/>
        <v>4.9765737051792831</v>
      </c>
      <c r="H6" s="612">
        <f>G6/F6</f>
        <v>9.2158772318134865</v>
      </c>
      <c r="I6" s="610">
        <f t="shared" si="1"/>
        <v>249.82400000000001</v>
      </c>
    </row>
    <row r="7" spans="1:11">
      <c r="A7" s="616" t="s">
        <v>812</v>
      </c>
      <c r="B7" s="672" t="s">
        <v>935</v>
      </c>
      <c r="C7" s="615">
        <v>1.0700000524520874</v>
      </c>
      <c r="D7" s="614">
        <f>1/C7</f>
        <v>0.93457939343865415</v>
      </c>
      <c r="E7" s="610">
        <v>19.7</v>
      </c>
      <c r="F7" s="613">
        <v>0.79500000000000004</v>
      </c>
      <c r="G7" s="612">
        <f t="shared" si="0"/>
        <v>11.851795044995855</v>
      </c>
      <c r="H7" s="612">
        <f>G7/F7</f>
        <v>14.907918295592269</v>
      </c>
      <c r="I7" s="610">
        <f t="shared" si="1"/>
        <v>249.82400000000001</v>
      </c>
    </row>
    <row r="8" spans="1:11">
      <c r="A8" s="616" t="s">
        <v>811</v>
      </c>
      <c r="B8" s="672" t="s">
        <v>936</v>
      </c>
      <c r="C8" s="615">
        <v>1</v>
      </c>
      <c r="D8" s="614">
        <f>1/C8</f>
        <v>1</v>
      </c>
      <c r="E8" s="610">
        <f>E7</f>
        <v>19.7</v>
      </c>
      <c r="F8" s="613">
        <f>F7</f>
        <v>0.79500000000000004</v>
      </c>
      <c r="G8" s="612">
        <f t="shared" si="0"/>
        <v>12.681421319796955</v>
      </c>
      <c r="H8" s="612">
        <f>G8/F8</f>
        <v>15.951473358235162</v>
      </c>
      <c r="I8" s="610">
        <f t="shared" si="1"/>
        <v>249.82400000000001</v>
      </c>
    </row>
    <row r="9" spans="1:11">
      <c r="A9" s="616" t="s">
        <v>810</v>
      </c>
      <c r="B9" s="672" t="s">
        <v>937</v>
      </c>
      <c r="C9" s="615">
        <v>1.0700000524520874</v>
      </c>
      <c r="D9" s="614">
        <f>1/C9</f>
        <v>0.93457939343865415</v>
      </c>
      <c r="E9" s="610">
        <v>27</v>
      </c>
      <c r="F9" s="613">
        <v>0.79</v>
      </c>
      <c r="G9" s="612">
        <f t="shared" si="0"/>
        <v>8.6474208291266041</v>
      </c>
      <c r="H9" s="612">
        <f>G9/F9</f>
        <v>10.946102315350132</v>
      </c>
      <c r="I9" s="610">
        <f t="shared" si="1"/>
        <v>249.82400000000001</v>
      </c>
    </row>
    <row r="10" spans="1:11">
      <c r="A10" s="616" t="s">
        <v>809</v>
      </c>
      <c r="B10" s="672" t="s">
        <v>938</v>
      </c>
      <c r="C10" s="615">
        <v>1</v>
      </c>
      <c r="D10" s="614">
        <f>1/C10</f>
        <v>1</v>
      </c>
      <c r="E10" s="610">
        <f>E9</f>
        <v>27</v>
      </c>
      <c r="F10" s="613">
        <f>F9</f>
        <v>0.79</v>
      </c>
      <c r="G10" s="612">
        <f t="shared" si="0"/>
        <v>9.2527407407407409</v>
      </c>
      <c r="H10" s="612">
        <f>G10/F10</f>
        <v>11.712330051570557</v>
      </c>
      <c r="I10" s="610">
        <f t="shared" si="1"/>
        <v>249.82400000000001</v>
      </c>
    </row>
    <row r="11" spans="1:11">
      <c r="A11" s="616"/>
      <c r="B11" s="616"/>
      <c r="C11" s="615"/>
      <c r="D11" s="614"/>
      <c r="E11" s="610"/>
      <c r="F11" s="613"/>
      <c r="G11" s="612"/>
      <c r="H11" s="612"/>
      <c r="I11" s="610">
        <f t="shared" si="1"/>
        <v>249.82400000000001</v>
      </c>
    </row>
    <row r="12" spans="1:11">
      <c r="A12" s="616" t="s">
        <v>808</v>
      </c>
      <c r="B12" s="672" t="s">
        <v>939</v>
      </c>
      <c r="C12" s="615">
        <v>1.2000000476837158</v>
      </c>
      <c r="D12" s="614">
        <f>1/C12</f>
        <v>0.83333330021964314</v>
      </c>
      <c r="E12" s="610">
        <v>121</v>
      </c>
      <c r="F12" s="613"/>
      <c r="G12" s="612">
        <f>I12*D12/E12</f>
        <v>1.7205508958187781</v>
      </c>
      <c r="H12" s="612"/>
      <c r="I12" s="610">
        <f t="shared" si="1"/>
        <v>249.82400000000001</v>
      </c>
    </row>
    <row r="13" spans="1:11">
      <c r="A13" s="616"/>
      <c r="B13" s="616"/>
      <c r="C13" s="616"/>
      <c r="D13" s="616"/>
      <c r="E13" s="610"/>
      <c r="F13" s="613"/>
      <c r="G13" s="612"/>
      <c r="H13" s="612"/>
      <c r="I13" s="610">
        <f t="shared" si="1"/>
        <v>249.82400000000001</v>
      </c>
    </row>
    <row r="14" spans="1:11">
      <c r="A14" s="616" t="s">
        <v>807</v>
      </c>
      <c r="B14" s="672" t="s">
        <v>941</v>
      </c>
      <c r="C14" s="617">
        <v>1.4300000190734801</v>
      </c>
      <c r="D14" s="614">
        <f>1/C14</f>
        <v>0.69930068997335815</v>
      </c>
      <c r="E14" s="610">
        <f>E3</f>
        <v>42.2</v>
      </c>
      <c r="F14" s="613">
        <f>F3</f>
        <v>0.74</v>
      </c>
      <c r="G14" s="612">
        <f>I14*D14/E14</f>
        <v>4.1398600846422804</v>
      </c>
      <c r="H14" s="612">
        <f>G14/F14</f>
        <v>5.5944055197868652</v>
      </c>
      <c r="I14" s="610">
        <f t="shared" si="1"/>
        <v>249.82400000000001</v>
      </c>
      <c r="K14" s="543" t="s">
        <v>806</v>
      </c>
    </row>
    <row r="15" spans="1:11">
      <c r="A15" s="616" t="s">
        <v>805</v>
      </c>
      <c r="B15" s="672" t="s">
        <v>942</v>
      </c>
      <c r="C15" s="615">
        <v>1.6000000238418579</v>
      </c>
      <c r="D15" s="614">
        <f>1/C15</f>
        <v>0.62499999068677436</v>
      </c>
      <c r="E15" s="610">
        <v>121</v>
      </c>
      <c r="F15" s="613"/>
      <c r="G15" s="612">
        <f>I15*D15/E15</f>
        <v>1.2904132039118406</v>
      </c>
      <c r="H15" s="612"/>
      <c r="I15" s="610">
        <f t="shared" si="1"/>
        <v>249.82400000000001</v>
      </c>
      <c r="J15" s="543">
        <f>D15/D12</f>
        <v>0.75000001862645116</v>
      </c>
      <c r="K15" s="543" t="s">
        <v>804</v>
      </c>
    </row>
    <row r="16" spans="1:11">
      <c r="A16" s="616"/>
      <c r="B16" s="616"/>
      <c r="C16" s="616"/>
      <c r="D16" s="614"/>
      <c r="E16" s="610"/>
      <c r="F16" s="613"/>
      <c r="G16" s="612"/>
      <c r="H16" s="612"/>
      <c r="I16" s="610">
        <f t="shared" si="1"/>
        <v>249.82400000000001</v>
      </c>
    </row>
    <row r="17" spans="1:11">
      <c r="A17" s="616" t="s">
        <v>803</v>
      </c>
      <c r="B17" s="672" t="s">
        <v>943</v>
      </c>
      <c r="C17" s="615">
        <v>1.1000000000000001</v>
      </c>
      <c r="D17" s="619">
        <f>1/C17</f>
        <v>0.90909090909090906</v>
      </c>
      <c r="E17" s="610">
        <v>42.7</v>
      </c>
      <c r="F17" s="613">
        <v>0.84</v>
      </c>
      <c r="G17" s="612">
        <f>I17*D17/E17</f>
        <v>5.3187992335533316</v>
      </c>
      <c r="H17" s="612">
        <f>G17/F17</f>
        <v>6.3319038494682518</v>
      </c>
      <c r="I17" s="610">
        <f t="shared" si="1"/>
        <v>249.82400000000001</v>
      </c>
    </row>
    <row r="18" spans="1:11">
      <c r="A18" s="616" t="s">
        <v>802</v>
      </c>
      <c r="B18" s="672" t="s">
        <v>944</v>
      </c>
      <c r="C18" s="618">
        <f>C17</f>
        <v>1.1000000000000001</v>
      </c>
      <c r="D18" s="614">
        <f>1/C18</f>
        <v>0.90909090909090906</v>
      </c>
      <c r="E18" s="610">
        <v>28.4</v>
      </c>
      <c r="F18" s="613">
        <f>F17</f>
        <v>0.84</v>
      </c>
      <c r="G18" s="612">
        <f>I18*D18/E18</f>
        <v>7.9969270166453272</v>
      </c>
      <c r="H18" s="612">
        <f>G18/F18</f>
        <v>9.520151210292056</v>
      </c>
      <c r="I18" s="610">
        <f t="shared" si="1"/>
        <v>249.82400000000001</v>
      </c>
    </row>
    <row r="19" spans="1:11">
      <c r="A19" s="616" t="s">
        <v>801</v>
      </c>
      <c r="B19" s="672" t="s">
        <v>945</v>
      </c>
      <c r="C19" s="618">
        <f>C18</f>
        <v>1.1000000000000001</v>
      </c>
      <c r="D19" s="614">
        <f>1/C19</f>
        <v>0.90909090909090906</v>
      </c>
      <c r="E19" s="610">
        <f>E17</f>
        <v>42.7</v>
      </c>
      <c r="F19" s="613">
        <f>F17</f>
        <v>0.84</v>
      </c>
      <c r="G19" s="612">
        <f>I19*D19/E19</f>
        <v>5.3187992335533316</v>
      </c>
      <c r="H19" s="612">
        <f>G19/F19</f>
        <v>6.3319038494682518</v>
      </c>
      <c r="I19" s="610">
        <f t="shared" si="1"/>
        <v>249.82400000000001</v>
      </c>
    </row>
    <row r="20" spans="1:11">
      <c r="A20" s="616" t="s">
        <v>800</v>
      </c>
      <c r="B20" s="672" t="s">
        <v>946</v>
      </c>
      <c r="C20" s="617">
        <v>1.6</v>
      </c>
      <c r="D20" s="614">
        <f>1/C20</f>
        <v>0.625</v>
      </c>
      <c r="E20" s="610">
        <f>E17</f>
        <v>42.7</v>
      </c>
      <c r="F20" s="613">
        <f>F17</f>
        <v>0.84</v>
      </c>
      <c r="G20" s="612">
        <f>I20*D20/E20</f>
        <v>3.6566744730679157</v>
      </c>
      <c r="H20" s="612">
        <f>G20/F20</f>
        <v>4.3531838965094236</v>
      </c>
      <c r="I20" s="610">
        <f t="shared" si="1"/>
        <v>249.82400000000001</v>
      </c>
      <c r="K20" s="543" t="str">
        <f>K14</f>
        <v>Oil save 30%</v>
      </c>
    </row>
    <row r="21" spans="1:11">
      <c r="A21" s="616"/>
      <c r="B21" s="616"/>
      <c r="C21" s="616"/>
      <c r="D21" s="614"/>
      <c r="E21" s="610"/>
      <c r="F21" s="610"/>
      <c r="G21" s="612"/>
      <c r="H21" s="611"/>
      <c r="I21" s="610">
        <f t="shared" si="1"/>
        <v>249.82400000000001</v>
      </c>
    </row>
    <row r="22" spans="1:11">
      <c r="A22" s="616" t="s">
        <v>799</v>
      </c>
      <c r="B22" s="672" t="s">
        <v>947</v>
      </c>
      <c r="C22" s="615">
        <v>3.5</v>
      </c>
      <c r="D22" s="614">
        <f>1/C22</f>
        <v>0.2857142857142857</v>
      </c>
      <c r="E22" s="610"/>
      <c r="F22" s="610"/>
      <c r="G22" s="612"/>
      <c r="H22" s="612">
        <f>I22*D22/3.6</f>
        <v>19.827301587301587</v>
      </c>
      <c r="I22" s="610">
        <f t="shared" si="1"/>
        <v>249.82400000000001</v>
      </c>
    </row>
    <row r="23" spans="1:11">
      <c r="A23" s="616" t="s">
        <v>798</v>
      </c>
      <c r="B23" s="672" t="s">
        <v>948</v>
      </c>
      <c r="C23" s="615">
        <v>3</v>
      </c>
      <c r="D23" s="614">
        <f>1/C23</f>
        <v>0.33333333333333331</v>
      </c>
      <c r="E23" s="610"/>
      <c r="F23" s="610"/>
      <c r="G23" s="612"/>
      <c r="H23" s="612">
        <f>I23*D23/3.6</f>
        <v>23.131851851851849</v>
      </c>
      <c r="I23" s="610">
        <f t="shared" si="1"/>
        <v>249.82400000000001</v>
      </c>
    </row>
    <row r="24" spans="1:11">
      <c r="A24" s="616" t="s">
        <v>797</v>
      </c>
      <c r="B24" s="672" t="s">
        <v>949</v>
      </c>
      <c r="C24" s="615">
        <f>C14</f>
        <v>1.4300000190734801</v>
      </c>
      <c r="D24" s="614">
        <f>1/C24</f>
        <v>0.69930068997335815</v>
      </c>
      <c r="E24" s="610">
        <f>E14</f>
        <v>42.2</v>
      </c>
      <c r="F24" s="610">
        <f>F14</f>
        <v>0.74</v>
      </c>
      <c r="G24" s="612">
        <f>I24*D24/E24</f>
        <v>4.1398600846422804</v>
      </c>
      <c r="H24" s="612">
        <f>G24/F24</f>
        <v>5.5944055197868652</v>
      </c>
      <c r="I24" s="610">
        <f t="shared" si="1"/>
        <v>249.82400000000001</v>
      </c>
    </row>
    <row r="25" spans="1:11">
      <c r="A25" s="616"/>
      <c r="B25" s="616"/>
      <c r="C25" s="616"/>
      <c r="D25" s="614"/>
      <c r="E25" s="610"/>
      <c r="F25" s="610"/>
      <c r="G25" s="612"/>
      <c r="H25" s="611"/>
      <c r="I25" s="610">
        <f t="shared" si="1"/>
        <v>249.82400000000001</v>
      </c>
    </row>
    <row r="26" spans="1:11">
      <c r="A26" s="616" t="s">
        <v>796</v>
      </c>
      <c r="B26" s="672" t="s">
        <v>940</v>
      </c>
      <c r="C26" s="615">
        <v>2.2999999523162842</v>
      </c>
      <c r="D26" s="614">
        <f>1/C26</f>
        <v>0.43478261770958732</v>
      </c>
      <c r="E26" s="610">
        <v>121</v>
      </c>
      <c r="F26" s="613"/>
      <c r="G26" s="612">
        <f>I26*D26/E26</f>
        <v>0.89767878253454503</v>
      </c>
      <c r="H26" s="611"/>
      <c r="I26" s="610">
        <f t="shared" si="1"/>
        <v>249.82400000000001</v>
      </c>
    </row>
    <row r="27" spans="1:11">
      <c r="D27" s="609"/>
    </row>
    <row r="29" spans="1:11">
      <c r="D29" s="608"/>
    </row>
  </sheetData>
  <phoneticPr fontId="60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O73"/>
  <sheetViews>
    <sheetView workbookViewId="0">
      <pane xSplit="1" ySplit="2" topLeftCell="F3" activePane="bottomRight" state="frozen"/>
      <selection sqref="A1:H26"/>
      <selection pane="topRight" sqref="A1:H26"/>
      <selection pane="bottomLeft" sqref="A1:H26"/>
      <selection pane="bottomRight" activeCell="I13" sqref="I13"/>
    </sheetView>
  </sheetViews>
  <sheetFormatPr defaultColWidth="8.875" defaultRowHeight="13.5"/>
  <cols>
    <col min="1" max="1" width="32.5" style="543" bestFit="1" customWidth="1"/>
    <col min="2" max="2" width="32.5" style="543" customWidth="1"/>
    <col min="3" max="3" width="13.625" style="543" customWidth="1"/>
    <col min="4" max="4" width="26.75" style="543" customWidth="1"/>
    <col min="5" max="5" width="21.5" style="648" customWidth="1"/>
    <col min="6" max="6" width="10.125" style="648" bestFit="1" customWidth="1"/>
    <col min="7" max="7" width="15.875" style="648" bestFit="1" customWidth="1"/>
    <col min="8" max="8" width="21.5" style="648" bestFit="1" customWidth="1"/>
    <col min="9" max="9" width="13.75" style="628" bestFit="1" customWidth="1"/>
    <col min="10" max="17" width="9.5" style="543" customWidth="1"/>
    <col min="18" max="19" width="6.625" style="628" customWidth="1"/>
    <col min="20" max="23" width="7.5" style="629" customWidth="1"/>
    <col min="24" max="24" width="8.875" style="628"/>
    <col min="25" max="26" width="8.875" style="543"/>
    <col min="27" max="27" width="10.125" style="543" customWidth="1"/>
    <col min="28" max="28" width="8.875" style="543"/>
    <col min="29" max="29" width="17.5" style="627" customWidth="1"/>
    <col min="30" max="30" width="8.875" style="568"/>
    <col min="31" max="31" width="8.875" style="543"/>
    <col min="32" max="32" width="8.875" style="626"/>
    <col min="33" max="34" width="8.875" style="625"/>
    <col min="35" max="35" width="9.625" style="624" customWidth="1"/>
    <col min="36" max="37" width="8.875" style="568"/>
    <col min="38" max="38" width="10.375" style="543" customWidth="1"/>
    <col min="39" max="39" width="8.875" style="543"/>
    <col min="40" max="40" width="11" style="543" customWidth="1"/>
    <col min="41" max="16384" width="8.875" style="543"/>
  </cols>
  <sheetData>
    <row r="1" spans="1:41" s="587" customFormat="1" ht="81">
      <c r="C1" s="587" t="s">
        <v>923</v>
      </c>
      <c r="D1" s="587" t="s">
        <v>922</v>
      </c>
      <c r="E1" s="678" t="s">
        <v>921</v>
      </c>
      <c r="F1" s="678" t="s">
        <v>920</v>
      </c>
      <c r="G1" s="678" t="s">
        <v>919</v>
      </c>
      <c r="H1" s="678" t="s">
        <v>918</v>
      </c>
      <c r="I1" s="659" t="s">
        <v>957</v>
      </c>
      <c r="J1" s="587" t="s">
        <v>908</v>
      </c>
      <c r="K1" s="587" t="s">
        <v>907</v>
      </c>
      <c r="L1" s="587" t="s">
        <v>917</v>
      </c>
      <c r="M1" s="587" t="s">
        <v>916</v>
      </c>
      <c r="N1" s="587" t="s">
        <v>915</v>
      </c>
      <c r="R1" s="659" t="s">
        <v>911</v>
      </c>
      <c r="S1" s="659"/>
      <c r="T1" s="660" t="s">
        <v>914</v>
      </c>
      <c r="U1" s="660" t="s">
        <v>1007</v>
      </c>
      <c r="V1" s="660" t="s">
        <v>1008</v>
      </c>
      <c r="W1" s="660" t="s">
        <v>1009</v>
      </c>
      <c r="X1" s="659" t="s">
        <v>913</v>
      </c>
      <c r="Y1" s="659" t="s">
        <v>1010</v>
      </c>
      <c r="Z1" s="659" t="s">
        <v>1012</v>
      </c>
      <c r="AA1" s="659" t="s">
        <v>1011</v>
      </c>
      <c r="AC1" s="658" t="s">
        <v>912</v>
      </c>
      <c r="AD1" s="657" t="s">
        <v>177</v>
      </c>
      <c r="AE1" s="587" t="s">
        <v>911</v>
      </c>
      <c r="AF1" s="656" t="s">
        <v>910</v>
      </c>
      <c r="AG1" s="654" t="s">
        <v>908</v>
      </c>
      <c r="AH1" s="654" t="s">
        <v>907</v>
      </c>
      <c r="AI1" s="655" t="s">
        <v>909</v>
      </c>
      <c r="AJ1" s="654" t="s">
        <v>908</v>
      </c>
      <c r="AK1" s="654" t="s">
        <v>907</v>
      </c>
      <c r="AL1" s="587" t="s">
        <v>906</v>
      </c>
      <c r="AN1" s="587" t="s">
        <v>905</v>
      </c>
    </row>
    <row r="2" spans="1:41">
      <c r="C2" s="675" t="s">
        <v>958</v>
      </c>
      <c r="D2" s="675" t="s">
        <v>959</v>
      </c>
      <c r="E2" s="648" t="s">
        <v>960</v>
      </c>
      <c r="F2" s="648" t="s">
        <v>961</v>
      </c>
      <c r="G2" s="648" t="s">
        <v>962</v>
      </c>
      <c r="H2" s="648" t="s">
        <v>963</v>
      </c>
      <c r="I2" s="628" t="s">
        <v>964</v>
      </c>
      <c r="J2" s="675" t="s">
        <v>965</v>
      </c>
      <c r="K2" s="675" t="s">
        <v>966</v>
      </c>
      <c r="L2" s="675" t="s">
        <v>967</v>
      </c>
      <c r="M2" s="675" t="s">
        <v>968</v>
      </c>
      <c r="N2" s="543" t="s">
        <v>904</v>
      </c>
      <c r="R2" s="628" t="s">
        <v>9</v>
      </c>
      <c r="T2" s="629" t="s">
        <v>903</v>
      </c>
      <c r="U2" s="629" t="s">
        <v>903</v>
      </c>
      <c r="V2" s="629" t="s">
        <v>903</v>
      </c>
      <c r="W2" s="629" t="s">
        <v>903</v>
      </c>
      <c r="X2" s="628" t="s">
        <v>9</v>
      </c>
      <c r="Y2" s="628" t="s">
        <v>9</v>
      </c>
      <c r="Z2" s="628" t="s">
        <v>9</v>
      </c>
      <c r="AA2" s="628" t="s">
        <v>1013</v>
      </c>
      <c r="AD2" s="568" t="s">
        <v>902</v>
      </c>
      <c r="AE2" s="543" t="s">
        <v>178</v>
      </c>
      <c r="AF2" s="626" t="s">
        <v>901</v>
      </c>
      <c r="AI2" s="624" t="s">
        <v>900</v>
      </c>
    </row>
    <row r="3" spans="1:41">
      <c r="A3" s="543" t="s">
        <v>899</v>
      </c>
      <c r="B3" s="675" t="s">
        <v>969</v>
      </c>
      <c r="C3" s="543">
        <v>8</v>
      </c>
      <c r="E3" s="648" t="s">
        <v>893</v>
      </c>
      <c r="G3" s="652">
        <v>0.88</v>
      </c>
      <c r="I3" s="645">
        <f>'LC factor'!Q10</f>
        <v>78.241901405908948</v>
      </c>
      <c r="J3" s="640">
        <v>0.05</v>
      </c>
      <c r="K3" s="640">
        <v>0.05</v>
      </c>
      <c r="L3" s="568">
        <f t="shared" ref="L3:L10" si="0">I3*J3</f>
        <v>3.9120950702954476</v>
      </c>
      <c r="M3" s="568">
        <f t="shared" ref="M3:M10" si="1">I3*K3</f>
        <v>3.9120950702954476</v>
      </c>
      <c r="N3" s="679">
        <f t="shared" ref="N3:N10" si="2">I3</f>
        <v>78.241901405908948</v>
      </c>
      <c r="R3" s="647">
        <f>X3-'Oil-based'!R13</f>
        <v>20.84358724386307</v>
      </c>
      <c r="S3" s="647"/>
      <c r="T3" s="629">
        <f t="shared" ref="T3:T10" si="3">1/I3*100</f>
        <v>1.2780875490386261</v>
      </c>
      <c r="U3" s="629">
        <f>'Oil-based'!S7</f>
        <v>1.1531823388813485</v>
      </c>
      <c r="V3" s="629">
        <f>'Oil-based'!S6</f>
        <v>5.4228898743217083E-2</v>
      </c>
      <c r="W3" s="629">
        <f>'Oil-based'!S5</f>
        <v>7.5673046070997022E-2</v>
      </c>
      <c r="X3" s="647">
        <f>'Oil-based'!S13</f>
        <v>90.758183243863073</v>
      </c>
      <c r="Y3" s="647">
        <f>'Oil-based'!S10</f>
        <v>87.610408897966522</v>
      </c>
      <c r="Z3" s="647">
        <f>'Oil-based'!S11</f>
        <v>0.12588151742686909</v>
      </c>
      <c r="AA3" s="690">
        <f>'Oil-based'!S12</f>
        <v>2.4711752511275705E-3</v>
      </c>
      <c r="AC3" s="627">
        <v>1</v>
      </c>
      <c r="AD3" s="568">
        <f>42.5*0.74*C3/100*AC3</f>
        <v>2.516</v>
      </c>
      <c r="AF3" s="626">
        <f>T3*AD3</f>
        <v>3.2156682733811834</v>
      </c>
      <c r="AG3" s="625">
        <f t="shared" ref="AG3:AG10" si="4">K3/(1-K3)*AF3</f>
        <v>0.16924569859900968</v>
      </c>
      <c r="AH3" s="625">
        <f t="shared" ref="AH3:AH10" si="5">AF3*J3/(1-J3)</f>
        <v>0.16924569859900968</v>
      </c>
      <c r="AI3" s="624">
        <f t="shared" ref="AI3:AI10" si="6">X3*AD3</f>
        <v>228.3475890415595</v>
      </c>
      <c r="AJ3" s="568">
        <f>K3/(1-K3)*AI3</f>
        <v>12.01829416008208</v>
      </c>
      <c r="AK3" s="568">
        <f>AI3*J3/(1-J3)</f>
        <v>12.01829416008208</v>
      </c>
    </row>
    <row r="4" spans="1:41">
      <c r="A4" s="543" t="s">
        <v>898</v>
      </c>
      <c r="B4" s="675" t="s">
        <v>971</v>
      </c>
      <c r="C4" s="543">
        <v>7.7</v>
      </c>
      <c r="D4" s="675" t="s">
        <v>976</v>
      </c>
      <c r="G4" s="652"/>
      <c r="I4" s="645">
        <f>I3</f>
        <v>78.241901405908948</v>
      </c>
      <c r="J4" s="640">
        <v>0.05</v>
      </c>
      <c r="K4" s="640">
        <v>0.05</v>
      </c>
      <c r="L4" s="568">
        <f t="shared" si="0"/>
        <v>3.9120950702954476</v>
      </c>
      <c r="M4" s="568">
        <f t="shared" si="1"/>
        <v>3.9120950702954476</v>
      </c>
      <c r="N4" s="679">
        <f t="shared" si="2"/>
        <v>78.241901405908948</v>
      </c>
      <c r="R4" s="628">
        <f>R3</f>
        <v>20.84358724386307</v>
      </c>
      <c r="T4" s="629">
        <f t="shared" si="3"/>
        <v>1.2780875490386261</v>
      </c>
      <c r="U4" s="647">
        <f t="shared" ref="U4:W8" si="7">U3</f>
        <v>1.1531823388813485</v>
      </c>
      <c r="V4" s="647">
        <f t="shared" si="7"/>
        <v>5.4228898743217083E-2</v>
      </c>
      <c r="W4" s="647">
        <f t="shared" si="7"/>
        <v>7.5673046070997022E-2</v>
      </c>
      <c r="X4" s="647">
        <f>X3</f>
        <v>90.758183243863073</v>
      </c>
      <c r="Y4" s="647">
        <f t="shared" ref="Y4:AA8" si="8">Y3</f>
        <v>87.610408897966522</v>
      </c>
      <c r="Z4" s="647">
        <f t="shared" si="8"/>
        <v>0.12588151742686909</v>
      </c>
      <c r="AA4" s="690">
        <f t="shared" si="8"/>
        <v>2.4711752511275705E-3</v>
      </c>
      <c r="AC4" s="627">
        <v>1</v>
      </c>
      <c r="AD4" s="568">
        <f t="shared" ref="AD4:AD8" si="9">42.5*0.74*C4/100*AC4</f>
        <v>2.4216500000000001</v>
      </c>
      <c r="AF4" s="626">
        <f t="shared" ref="AF4:AF10" si="10">T4*AD4</f>
        <v>3.0950807131293891</v>
      </c>
      <c r="AG4" s="625">
        <f t="shared" si="4"/>
        <v>0.16289898490154681</v>
      </c>
      <c r="AH4" s="625">
        <f t="shared" si="5"/>
        <v>0.16289898490154683</v>
      </c>
      <c r="AI4" s="624">
        <f t="shared" si="6"/>
        <v>219.78455445250103</v>
      </c>
      <c r="AJ4" s="568">
        <f t="shared" ref="AJ4:AJ10" si="11">K4/(1-K4)*AI4</f>
        <v>11.567608129079002</v>
      </c>
      <c r="AK4" s="568">
        <f t="shared" ref="AK4:AK10" si="12">AI4*J4/(1-J4)</f>
        <v>11.567608129079003</v>
      </c>
    </row>
    <row r="5" spans="1:41">
      <c r="A5" s="543" t="s">
        <v>897</v>
      </c>
      <c r="B5" s="675" t="s">
        <v>972</v>
      </c>
      <c r="C5" s="543">
        <v>8.1999999999999993</v>
      </c>
      <c r="D5" s="675" t="s">
        <v>977</v>
      </c>
      <c r="G5" s="652"/>
      <c r="I5" s="645">
        <f>I4</f>
        <v>78.241901405908948</v>
      </c>
      <c r="J5" s="640">
        <v>0.05</v>
      </c>
      <c r="K5" s="640">
        <v>0.05</v>
      </c>
      <c r="L5" s="568">
        <f t="shared" si="0"/>
        <v>3.9120950702954476</v>
      </c>
      <c r="M5" s="568">
        <f t="shared" si="1"/>
        <v>3.9120950702954476</v>
      </c>
      <c r="N5" s="679">
        <f t="shared" si="2"/>
        <v>78.241901405908948</v>
      </c>
      <c r="R5" s="628">
        <f>R4</f>
        <v>20.84358724386307</v>
      </c>
      <c r="T5" s="629">
        <f t="shared" si="3"/>
        <v>1.2780875490386261</v>
      </c>
      <c r="U5" s="647">
        <f t="shared" si="7"/>
        <v>1.1531823388813485</v>
      </c>
      <c r="V5" s="647">
        <f t="shared" si="7"/>
        <v>5.4228898743217083E-2</v>
      </c>
      <c r="W5" s="647">
        <f t="shared" si="7"/>
        <v>7.5673046070997022E-2</v>
      </c>
      <c r="X5" s="647">
        <f t="shared" ref="X5:X8" si="13">X4</f>
        <v>90.758183243863073</v>
      </c>
      <c r="Y5" s="647">
        <f t="shared" si="8"/>
        <v>87.610408897966522</v>
      </c>
      <c r="Z5" s="647">
        <f t="shared" si="8"/>
        <v>0.12588151742686909</v>
      </c>
      <c r="AA5" s="690">
        <f t="shared" si="8"/>
        <v>2.4711752511275705E-3</v>
      </c>
      <c r="AC5" s="627">
        <v>1</v>
      </c>
      <c r="AD5" s="568">
        <f t="shared" si="9"/>
        <v>2.5789</v>
      </c>
      <c r="AF5" s="626">
        <f t="shared" si="10"/>
        <v>3.2960599802157127</v>
      </c>
      <c r="AG5" s="625">
        <f t="shared" si="4"/>
        <v>0.17347684106398489</v>
      </c>
      <c r="AH5" s="625">
        <f t="shared" si="5"/>
        <v>0.17347684106398492</v>
      </c>
      <c r="AI5" s="624">
        <f t="shared" si="6"/>
        <v>234.05627876759849</v>
      </c>
      <c r="AJ5" s="568">
        <f t="shared" si="11"/>
        <v>12.318751514084132</v>
      </c>
      <c r="AK5" s="568">
        <f t="shared" si="12"/>
        <v>12.318751514084132</v>
      </c>
    </row>
    <row r="6" spans="1:41">
      <c r="A6" s="543" t="s">
        <v>896</v>
      </c>
      <c r="B6" s="675" t="s">
        <v>973</v>
      </c>
      <c r="C6" s="543">
        <v>5.7</v>
      </c>
      <c r="D6" s="675" t="s">
        <v>978</v>
      </c>
      <c r="G6" s="652"/>
      <c r="I6" s="645">
        <f>I5</f>
        <v>78.241901405908948</v>
      </c>
      <c r="J6" s="640">
        <v>0.05</v>
      </c>
      <c r="K6" s="640">
        <v>0.05</v>
      </c>
      <c r="L6" s="568">
        <f t="shared" si="0"/>
        <v>3.9120950702954476</v>
      </c>
      <c r="M6" s="568">
        <f t="shared" si="1"/>
        <v>3.9120950702954476</v>
      </c>
      <c r="N6" s="679">
        <f t="shared" si="2"/>
        <v>78.241901405908948</v>
      </c>
      <c r="R6" s="628">
        <f>R5</f>
        <v>20.84358724386307</v>
      </c>
      <c r="T6" s="629">
        <f t="shared" si="3"/>
        <v>1.2780875490386261</v>
      </c>
      <c r="U6" s="647">
        <f t="shared" si="7"/>
        <v>1.1531823388813485</v>
      </c>
      <c r="V6" s="647">
        <f t="shared" si="7"/>
        <v>5.4228898743217083E-2</v>
      </c>
      <c r="W6" s="647">
        <f t="shared" si="7"/>
        <v>7.5673046070997022E-2</v>
      </c>
      <c r="X6" s="647">
        <f t="shared" si="13"/>
        <v>90.758183243863073</v>
      </c>
      <c r="Y6" s="647">
        <f t="shared" si="8"/>
        <v>87.610408897966522</v>
      </c>
      <c r="Z6" s="647">
        <f t="shared" si="8"/>
        <v>0.12588151742686909</v>
      </c>
      <c r="AA6" s="690">
        <f t="shared" si="8"/>
        <v>2.4711752511275705E-3</v>
      </c>
      <c r="AC6" s="627">
        <v>1</v>
      </c>
      <c r="AD6" s="568">
        <f t="shared" si="9"/>
        <v>1.7926500000000001</v>
      </c>
      <c r="AF6" s="626">
        <f t="shared" si="10"/>
        <v>2.2911636447840933</v>
      </c>
      <c r="AG6" s="625">
        <f t="shared" si="4"/>
        <v>0.12058756025179439</v>
      </c>
      <c r="AH6" s="625">
        <f t="shared" si="5"/>
        <v>0.12058756025179439</v>
      </c>
      <c r="AI6" s="624">
        <f t="shared" si="6"/>
        <v>162.69765719211114</v>
      </c>
      <c r="AJ6" s="568">
        <f t="shared" si="11"/>
        <v>8.563034589058482</v>
      </c>
      <c r="AK6" s="568">
        <f t="shared" si="12"/>
        <v>8.563034589058482</v>
      </c>
    </row>
    <row r="7" spans="1:41">
      <c r="A7" s="543" t="s">
        <v>895</v>
      </c>
      <c r="B7" s="675" t="s">
        <v>974</v>
      </c>
      <c r="C7" s="543">
        <v>5.9</v>
      </c>
      <c r="D7" s="675" t="s">
        <v>979</v>
      </c>
      <c r="G7" s="652"/>
      <c r="I7" s="645">
        <f>I6</f>
        <v>78.241901405908948</v>
      </c>
      <c r="J7" s="640">
        <v>0.05</v>
      </c>
      <c r="K7" s="640">
        <v>0.05</v>
      </c>
      <c r="L7" s="568">
        <f t="shared" si="0"/>
        <v>3.9120950702954476</v>
      </c>
      <c r="M7" s="568">
        <f t="shared" si="1"/>
        <v>3.9120950702954476</v>
      </c>
      <c r="N7" s="679">
        <f t="shared" si="2"/>
        <v>78.241901405908948</v>
      </c>
      <c r="R7" s="628">
        <f>R6</f>
        <v>20.84358724386307</v>
      </c>
      <c r="T7" s="629">
        <f t="shared" si="3"/>
        <v>1.2780875490386261</v>
      </c>
      <c r="U7" s="647">
        <f t="shared" si="7"/>
        <v>1.1531823388813485</v>
      </c>
      <c r="V7" s="647">
        <f t="shared" si="7"/>
        <v>5.4228898743217083E-2</v>
      </c>
      <c r="W7" s="647">
        <f t="shared" si="7"/>
        <v>7.5673046070997022E-2</v>
      </c>
      <c r="X7" s="647">
        <f t="shared" si="13"/>
        <v>90.758183243863073</v>
      </c>
      <c r="Y7" s="647">
        <f t="shared" si="8"/>
        <v>87.610408897966522</v>
      </c>
      <c r="Z7" s="647">
        <f t="shared" si="8"/>
        <v>0.12588151742686909</v>
      </c>
      <c r="AA7" s="690">
        <f t="shared" si="8"/>
        <v>2.4711752511275705E-3</v>
      </c>
      <c r="AC7" s="627">
        <v>1</v>
      </c>
      <c r="AD7" s="568">
        <f t="shared" si="9"/>
        <v>1.85555</v>
      </c>
      <c r="AF7" s="626">
        <f t="shared" si="10"/>
        <v>2.3715553516186225</v>
      </c>
      <c r="AG7" s="625">
        <f t="shared" si="4"/>
        <v>0.12481870271676962</v>
      </c>
      <c r="AH7" s="625">
        <f t="shared" si="5"/>
        <v>0.12481870271676962</v>
      </c>
      <c r="AI7" s="624">
        <f t="shared" si="6"/>
        <v>168.40634691815012</v>
      </c>
      <c r="AJ7" s="568">
        <f t="shared" si="11"/>
        <v>8.8634919430605326</v>
      </c>
      <c r="AK7" s="568">
        <f t="shared" si="12"/>
        <v>8.8634919430605326</v>
      </c>
    </row>
    <row r="8" spans="1:41">
      <c r="A8" s="543" t="s">
        <v>894</v>
      </c>
      <c r="B8" s="675" t="s">
        <v>975</v>
      </c>
      <c r="C8" s="543">
        <v>4.5</v>
      </c>
      <c r="D8" s="675" t="s">
        <v>980</v>
      </c>
      <c r="G8" s="652"/>
      <c r="I8" s="645">
        <f>I7</f>
        <v>78.241901405908948</v>
      </c>
      <c r="J8" s="640">
        <v>0.05</v>
      </c>
      <c r="K8" s="640">
        <v>0.05</v>
      </c>
      <c r="L8" s="568">
        <f t="shared" si="0"/>
        <v>3.9120950702954476</v>
      </c>
      <c r="M8" s="568">
        <f t="shared" si="1"/>
        <v>3.9120950702954476</v>
      </c>
      <c r="N8" s="679">
        <f t="shared" si="2"/>
        <v>78.241901405908948</v>
      </c>
      <c r="R8" s="628">
        <f>R7</f>
        <v>20.84358724386307</v>
      </c>
      <c r="T8" s="629">
        <f t="shared" si="3"/>
        <v>1.2780875490386261</v>
      </c>
      <c r="U8" s="647">
        <f t="shared" si="7"/>
        <v>1.1531823388813485</v>
      </c>
      <c r="V8" s="647">
        <f t="shared" si="7"/>
        <v>5.4228898743217083E-2</v>
      </c>
      <c r="W8" s="647">
        <f t="shared" si="7"/>
        <v>7.5673046070997022E-2</v>
      </c>
      <c r="X8" s="647">
        <f t="shared" si="13"/>
        <v>90.758183243863073</v>
      </c>
      <c r="Y8" s="647">
        <f t="shared" si="8"/>
        <v>87.610408897966522</v>
      </c>
      <c r="Z8" s="647">
        <f t="shared" si="8"/>
        <v>0.12588151742686909</v>
      </c>
      <c r="AA8" s="690">
        <f t="shared" si="8"/>
        <v>2.4711752511275705E-3</v>
      </c>
      <c r="AC8" s="627">
        <v>1</v>
      </c>
      <c r="AD8" s="568">
        <f t="shared" si="9"/>
        <v>1.4152500000000001</v>
      </c>
      <c r="AF8" s="626">
        <f t="shared" si="10"/>
        <v>1.8088134037769157</v>
      </c>
      <c r="AG8" s="625">
        <f t="shared" si="4"/>
        <v>9.5200705461942939E-2</v>
      </c>
      <c r="AH8" s="625">
        <f t="shared" si="5"/>
        <v>9.5200705461942939E-2</v>
      </c>
      <c r="AI8" s="624">
        <f t="shared" si="6"/>
        <v>128.44551883587724</v>
      </c>
      <c r="AJ8" s="568">
        <f t="shared" si="11"/>
        <v>6.7602904650461708</v>
      </c>
      <c r="AK8" s="568">
        <f t="shared" si="12"/>
        <v>6.7602904650461717</v>
      </c>
    </row>
    <row r="9" spans="1:41">
      <c r="A9" s="543" t="s">
        <v>803</v>
      </c>
      <c r="B9" s="675" t="s">
        <v>970</v>
      </c>
      <c r="E9" s="648" t="s">
        <v>893</v>
      </c>
      <c r="G9" s="652">
        <v>0.89</v>
      </c>
      <c r="I9" s="645">
        <f>'LC factor'!Q9</f>
        <v>78.796389312663322</v>
      </c>
      <c r="J9" s="640">
        <v>0.05</v>
      </c>
      <c r="K9" s="640">
        <v>0.05</v>
      </c>
      <c r="L9" s="568">
        <f t="shared" si="0"/>
        <v>3.9398194656331662</v>
      </c>
      <c r="M9" s="568">
        <f t="shared" si="1"/>
        <v>3.9398194656331662</v>
      </c>
      <c r="N9" s="679">
        <f t="shared" si="2"/>
        <v>78.796389312663322</v>
      </c>
      <c r="R9" s="647">
        <f>X9-'Oil-based'!Z13</f>
        <v>17.003031839911998</v>
      </c>
      <c r="S9" s="647"/>
      <c r="T9" s="629">
        <f t="shared" si="3"/>
        <v>1.2690936840164206</v>
      </c>
      <c r="U9" s="629">
        <f>'Oil-based'!K7</f>
        <v>1.1565603944209444</v>
      </c>
      <c r="V9" s="629">
        <f>'Oil-based'!K6</f>
        <v>5.4380529253660971E-2</v>
      </c>
      <c r="W9" s="629">
        <f>'Oil-based'!K5</f>
        <v>7.7369305150505024E-2</v>
      </c>
      <c r="X9" s="647">
        <f>'Oil-based'!K13</f>
        <v>92.872365173245328</v>
      </c>
      <c r="Y9" s="647">
        <f>'Oil-based'!K10</f>
        <v>91.636159369766972</v>
      </c>
      <c r="Z9" s="647">
        <f>'Oil-based'!K11</f>
        <v>4.9108920914784762E-2</v>
      </c>
      <c r="AA9" s="690">
        <f>'Oil-based'!K12</f>
        <v>2.8465706740768603E-2</v>
      </c>
      <c r="AC9" s="627">
        <f>PTW!D17</f>
        <v>0.90909090909090906</v>
      </c>
      <c r="AD9" s="568">
        <f>42.5*0.74*8/100*AC9</f>
        <v>2.2872727272727271</v>
      </c>
      <c r="AF9" s="626">
        <f t="shared" si="10"/>
        <v>2.9027633718048311</v>
      </c>
      <c r="AG9" s="625">
        <f t="shared" si="4"/>
        <v>0.15277701956867534</v>
      </c>
      <c r="AH9" s="625">
        <f t="shared" si="5"/>
        <v>0.15277701956867534</v>
      </c>
      <c r="AI9" s="624">
        <f t="shared" si="6"/>
        <v>212.42442797807749</v>
      </c>
      <c r="AJ9" s="568">
        <f t="shared" si="11"/>
        <v>11.180233051477764</v>
      </c>
      <c r="AK9" s="568">
        <f t="shared" si="12"/>
        <v>11.180233051477764</v>
      </c>
    </row>
    <row r="10" spans="1:41" s="648" customFormat="1">
      <c r="A10" s="651" t="s">
        <v>813</v>
      </c>
      <c r="B10" s="651"/>
      <c r="C10" s="651"/>
      <c r="D10" s="651"/>
      <c r="E10" s="648" t="s">
        <v>893</v>
      </c>
      <c r="G10" s="652">
        <v>0.92</v>
      </c>
      <c r="I10" s="653">
        <v>78.84</v>
      </c>
      <c r="J10" s="652">
        <v>0.05</v>
      </c>
      <c r="K10" s="652">
        <v>0.05</v>
      </c>
      <c r="L10" s="650">
        <f t="shared" si="0"/>
        <v>3.9420000000000002</v>
      </c>
      <c r="M10" s="650">
        <f t="shared" si="1"/>
        <v>3.9420000000000002</v>
      </c>
      <c r="N10" s="680">
        <f t="shared" si="2"/>
        <v>78.84</v>
      </c>
      <c r="O10" s="651"/>
      <c r="P10" s="651"/>
      <c r="Q10" s="651"/>
      <c r="R10" s="648">
        <v>26.9</v>
      </c>
      <c r="T10" s="650">
        <f t="shared" si="3"/>
        <v>1.2683916793505834</v>
      </c>
      <c r="U10" s="650"/>
      <c r="V10" s="650"/>
      <c r="W10" s="650"/>
      <c r="X10" s="648">
        <f>R10+63.6</f>
        <v>90.5</v>
      </c>
      <c r="AC10" s="649">
        <v>1</v>
      </c>
      <c r="AD10" s="650">
        <f>42.5*0.74*8/100*AC10</f>
        <v>2.516</v>
      </c>
      <c r="AF10" s="649">
        <f t="shared" si="10"/>
        <v>3.1912734652460677</v>
      </c>
      <c r="AG10" s="649">
        <f t="shared" si="4"/>
        <v>0.16796176132874041</v>
      </c>
      <c r="AH10" s="649">
        <f t="shared" si="5"/>
        <v>0.16796176132874041</v>
      </c>
      <c r="AI10" s="650">
        <f t="shared" si="6"/>
        <v>227.69800000000001</v>
      </c>
      <c r="AJ10" s="650">
        <f t="shared" si="11"/>
        <v>11.984105263157897</v>
      </c>
      <c r="AK10" s="650">
        <f t="shared" si="12"/>
        <v>11.984105263157897</v>
      </c>
      <c r="AL10" s="649">
        <f>AF10-AF3</f>
        <v>-2.4394808135115742E-2</v>
      </c>
      <c r="AM10" s="649">
        <f>AI10-AI3</f>
        <v>-0.64958904155949426</v>
      </c>
    </row>
    <row r="11" spans="1:41">
      <c r="G11" s="652"/>
      <c r="I11" s="645"/>
      <c r="N11" s="679"/>
    </row>
    <row r="12" spans="1:41">
      <c r="A12" s="543" t="s">
        <v>815</v>
      </c>
      <c r="B12" s="675" t="s">
        <v>981</v>
      </c>
      <c r="E12" s="648" t="s">
        <v>884</v>
      </c>
      <c r="F12" s="648" t="s">
        <v>892</v>
      </c>
      <c r="G12" s="676">
        <v>0.96899999999999997</v>
      </c>
      <c r="H12" s="648" t="s">
        <v>891</v>
      </c>
      <c r="I12" s="645">
        <f>'NG-based'!U17*100</f>
        <v>83.567369830290161</v>
      </c>
      <c r="J12" s="640">
        <v>0.1</v>
      </c>
      <c r="K12" s="640">
        <v>0.1</v>
      </c>
      <c r="L12" s="568">
        <f>I12*J12</f>
        <v>8.3567369830290161</v>
      </c>
      <c r="M12" s="568">
        <f>I12*K12</f>
        <v>8.3567369830290161</v>
      </c>
      <c r="N12" s="679">
        <f>I12</f>
        <v>83.567369830290161</v>
      </c>
      <c r="R12" s="628">
        <v>15.487267358105996</v>
      </c>
      <c r="T12" s="629">
        <f>1/I12*100</f>
        <v>1.1966393127255468</v>
      </c>
      <c r="U12" s="629">
        <f>'NG-based'!U15/1000</f>
        <v>6.9584498300473323E-3</v>
      </c>
      <c r="V12" s="629">
        <f>'NG-based'!U14/1000</f>
        <v>1.1123149031608779</v>
      </c>
      <c r="W12" s="629">
        <f>'NG-based'!U13/1000</f>
        <v>7.7365959734621334E-2</v>
      </c>
      <c r="X12" s="647">
        <f>'NG-based'!U21</f>
        <v>73.131630153330718</v>
      </c>
      <c r="Y12" s="647">
        <f>'NG-based'!M18</f>
        <v>64.663341807864128</v>
      </c>
      <c r="Z12" s="647">
        <f>'NG-based'!M19</f>
        <v>8.3585789947870331E-2</v>
      </c>
      <c r="AA12" s="690">
        <f>'NG-based'!M20</f>
        <v>1.5712688671428683E-7</v>
      </c>
      <c r="AC12" s="627">
        <f>PTW!D4</f>
        <v>1.0526315789473684</v>
      </c>
      <c r="AD12" s="568">
        <f>42.5*0.74*8/100*AC12</f>
        <v>2.648421052631579</v>
      </c>
      <c r="AF12" s="626">
        <f>T12*AD12</f>
        <v>3.1692047482289221</v>
      </c>
      <c r="AG12" s="625">
        <f>K12/(1-K12)*AF12</f>
        <v>0.35213386091432469</v>
      </c>
      <c r="AH12" s="625">
        <f>AF12*J12/(1-J12)</f>
        <v>0.35213386091432469</v>
      </c>
      <c r="AI12" s="624">
        <f>X12*AD12</f>
        <v>193.68334891134745</v>
      </c>
      <c r="AJ12" s="568">
        <f>K12/(1-K12)*AI12</f>
        <v>21.520372101260829</v>
      </c>
      <c r="AK12" s="568">
        <f>AI12*J12/(1-J12)</f>
        <v>21.520372101260829</v>
      </c>
      <c r="AL12" s="625">
        <f>AF12-AF3</f>
        <v>-4.6463525152261376E-2</v>
      </c>
      <c r="AM12" s="625">
        <f>AI12-AI3</f>
        <v>-34.66424013021205</v>
      </c>
    </row>
    <row r="13" spans="1:41">
      <c r="A13" s="543" t="s">
        <v>890</v>
      </c>
      <c r="B13" s="675" t="s">
        <v>982</v>
      </c>
      <c r="E13" s="648" t="s">
        <v>884</v>
      </c>
      <c r="F13" s="648" t="s">
        <v>889</v>
      </c>
      <c r="G13" s="676">
        <v>0.90200000000000002</v>
      </c>
      <c r="H13" s="648" t="s">
        <v>888</v>
      </c>
      <c r="I13" s="645">
        <f>'NG-based'!AE17*100</f>
        <v>79.343059533392548</v>
      </c>
      <c r="J13" s="640">
        <v>0.05</v>
      </c>
      <c r="K13" s="640">
        <v>0.05</v>
      </c>
      <c r="L13" s="568">
        <f>I13*J13</f>
        <v>3.9671529766696274</v>
      </c>
      <c r="M13" s="568">
        <f>I13*K13</f>
        <v>3.9671529766696274</v>
      </c>
      <c r="N13" s="679">
        <f>I13</f>
        <v>79.343059533392548</v>
      </c>
      <c r="R13" s="628">
        <v>18.023559625520548</v>
      </c>
      <c r="T13" s="629">
        <f>1/I13*100</f>
        <v>1.2603496838676069</v>
      </c>
      <c r="U13" s="629">
        <f>'NG-based'!AE15/1000</f>
        <v>3.8799992783467838E-2</v>
      </c>
      <c r="V13" s="629">
        <f>'NG-based'!AE14/1000</f>
        <v>1.2064432572053265</v>
      </c>
      <c r="W13" s="629">
        <f>'NG-based'!AE13/1000</f>
        <v>1.5106433878812305E-2</v>
      </c>
      <c r="X13" s="647">
        <f>'NG-based'!AE21</f>
        <v>75.320969005514741</v>
      </c>
      <c r="Y13" s="647">
        <f>'NG-based'!AE18</f>
        <v>72.985170583614945</v>
      </c>
      <c r="Z13" s="647">
        <f>'NG-based'!AE19</f>
        <v>9.3431933527215461E-2</v>
      </c>
      <c r="AA13" s="690">
        <f>'NG-based'!AE20</f>
        <v>2.8093758877325798E-7</v>
      </c>
      <c r="AC13" s="627">
        <f>PTW!D5</f>
        <v>100.31147622178867</v>
      </c>
      <c r="AD13" s="568">
        <f>42.5*0.74*8/100*AC13</f>
        <v>252.38367417402029</v>
      </c>
      <c r="AF13" s="626">
        <f>T13*AD13</f>
        <v>318.09168395857159</v>
      </c>
      <c r="AG13" s="625">
        <f>K13/(1-K13)*AF13</f>
        <v>16.741667576766929</v>
      </c>
      <c r="AH13" s="625">
        <f>AF13*J13/(1-J13)</f>
        <v>16.741667576766925</v>
      </c>
      <c r="AI13" s="624">
        <f>X13*AD13</f>
        <v>19009.782899959311</v>
      </c>
      <c r="AJ13" s="568">
        <f>K13/(1-K13)*AI13</f>
        <v>1000.5148894715428</v>
      </c>
      <c r="AK13" s="568">
        <f>AI13*J13/(1-J13)</f>
        <v>1000.5148894715428</v>
      </c>
      <c r="AL13" s="625">
        <f>AF13-AF3</f>
        <v>314.8760156851904</v>
      </c>
      <c r="AM13" s="625">
        <f>AI13-AI3</f>
        <v>18781.43531091775</v>
      </c>
    </row>
    <row r="14" spans="1:41">
      <c r="A14" s="543" t="s">
        <v>887</v>
      </c>
      <c r="B14" s="675" t="s">
        <v>984</v>
      </c>
      <c r="G14" s="676"/>
      <c r="I14" s="645">
        <f>'NG-based'!AM17*100</f>
        <v>80.174780312324444</v>
      </c>
      <c r="J14" s="640">
        <v>0.05</v>
      </c>
      <c r="K14" s="640">
        <v>0.05</v>
      </c>
      <c r="L14" s="568">
        <f>I14*J14</f>
        <v>4.0087390156162224</v>
      </c>
      <c r="M14" s="568">
        <f>I14*K14</f>
        <v>4.0087390156162224</v>
      </c>
      <c r="N14" s="679">
        <f>I14</f>
        <v>80.174780312324444</v>
      </c>
      <c r="R14" s="628">
        <v>19.78331487561239</v>
      </c>
      <c r="T14" s="629">
        <f>1/I14*100</f>
        <v>1.2472750110501771</v>
      </c>
      <c r="U14" s="629">
        <f>'NG-based'!AM15/1000</f>
        <v>1.4033941206286373E-2</v>
      </c>
      <c r="V14" s="629">
        <f>'NG-based'!AM14/1000</f>
        <v>1.112534037303671</v>
      </c>
      <c r="W14" s="629">
        <f>'NG-based'!AM13/1000</f>
        <v>0.12070703254022007</v>
      </c>
      <c r="X14" s="647">
        <f>'NG-based'!AM21</f>
        <v>77.634378607224903</v>
      </c>
      <c r="Y14" s="647">
        <f>'NG-based'!AM18</f>
        <v>74.402362536688543</v>
      </c>
      <c r="Z14" s="647">
        <f>'NG-based'!AM19</f>
        <v>0.12928063925578323</v>
      </c>
      <c r="AA14" s="690">
        <f>'NG-based'!AM20</f>
        <v>2.9913352190322519E-7</v>
      </c>
      <c r="AC14" s="627">
        <f>AC13</f>
        <v>100.31147622178867</v>
      </c>
      <c r="AD14" s="568">
        <f>42.5*0.74*8/100*AC14</f>
        <v>252.38367417402029</v>
      </c>
      <c r="AF14" s="626">
        <f>T14*AD14</f>
        <v>314.79184999428543</v>
      </c>
      <c r="AG14" s="625">
        <f>K14/(1-K14)*AF14</f>
        <v>16.567992104962393</v>
      </c>
      <c r="AH14" s="625">
        <f>AF14*J14/(1-J14)</f>
        <v>16.567992104962393</v>
      </c>
      <c r="AI14" s="624">
        <f>X14*AD14</f>
        <v>19593.649715108382</v>
      </c>
      <c r="AJ14" s="568">
        <f>K14/(1-K14)*AI14</f>
        <v>1031.2447218478096</v>
      </c>
      <c r="AK14" s="568">
        <f>AI14*J14/(1-J14)</f>
        <v>1031.2447218478096</v>
      </c>
      <c r="AL14" s="625">
        <f>AF14-AF3</f>
        <v>311.57618172090423</v>
      </c>
      <c r="AM14" s="625">
        <f>AI14-AI3</f>
        <v>19365.302126066821</v>
      </c>
    </row>
    <row r="15" spans="1:41">
      <c r="A15" s="543" t="s">
        <v>886</v>
      </c>
      <c r="B15" s="675" t="s">
        <v>985</v>
      </c>
      <c r="G15" s="676"/>
      <c r="I15" s="645">
        <f>'NG-based'!AW17*100</f>
        <v>79.213591857261349</v>
      </c>
      <c r="J15" s="640">
        <v>0.05</v>
      </c>
      <c r="K15" s="640">
        <v>0.05</v>
      </c>
      <c r="L15" s="568">
        <f>I15*J15</f>
        <v>3.9606795928630678</v>
      </c>
      <c r="M15" s="568">
        <f>I15*K15</f>
        <v>3.9606795928630678</v>
      </c>
      <c r="N15" s="679">
        <f>I15</f>
        <v>79.213591857261349</v>
      </c>
      <c r="R15" s="628">
        <v>20.770428224020321</v>
      </c>
      <c r="T15" s="629">
        <f>1/I15*100</f>
        <v>1.2624096150089323</v>
      </c>
      <c r="U15" s="629">
        <f>'NG-based'!AW15/1000</f>
        <v>1.4622598776559014E-2</v>
      </c>
      <c r="V15" s="629">
        <f>'NG-based'!AW14/1000</f>
        <v>1.123884487966607</v>
      </c>
      <c r="W15" s="629">
        <f>'NG-based'!AW13/1000</f>
        <v>0.12390252826576649</v>
      </c>
      <c r="X15" s="647">
        <f>'NG-based'!AW21</f>
        <v>78.637319127677728</v>
      </c>
      <c r="Y15" s="647">
        <f>'NG-based'!AW18</f>
        <v>75.351874741196227</v>
      </c>
      <c r="Z15" s="647">
        <f>'NG-based'!AW19</f>
        <v>0.13141777167081409</v>
      </c>
      <c r="AA15" s="690">
        <f>'NG-based'!AW20</f>
        <v>3.1782270849595987E-7</v>
      </c>
      <c r="AC15" s="627">
        <f>AC14</f>
        <v>100.31147622178867</v>
      </c>
      <c r="AD15" s="568">
        <f>42.5*0.74*8/100*AC15</f>
        <v>252.38367417402029</v>
      </c>
      <c r="AF15" s="626">
        <f>T15*AD15</f>
        <v>318.61157694856479</v>
      </c>
      <c r="AG15" s="625">
        <f>K15/(1-K15)*AF15</f>
        <v>16.769030365713938</v>
      </c>
      <c r="AH15" s="625">
        <f>AF15*J15/(1-J15)</f>
        <v>16.769030365713938</v>
      </c>
      <c r="AI15" s="624">
        <f>X15*AD15</f>
        <v>19846.775528638267</v>
      </c>
      <c r="AJ15" s="568">
        <f>K15/(1-K15)*AI15</f>
        <v>1044.5671330862247</v>
      </c>
      <c r="AK15" s="568">
        <f>AI15*J15/(1-J15)</f>
        <v>1044.5671330862247</v>
      </c>
      <c r="AL15" s="625">
        <f>AF15-AF3</f>
        <v>315.39590867518359</v>
      </c>
      <c r="AM15" s="625">
        <f>AI15-AI3</f>
        <v>19618.427939596706</v>
      </c>
    </row>
    <row r="16" spans="1:41">
      <c r="A16" s="543" t="s">
        <v>885</v>
      </c>
      <c r="B16" s="675" t="s">
        <v>983</v>
      </c>
      <c r="E16" s="648" t="s">
        <v>884</v>
      </c>
      <c r="F16" s="648" t="s">
        <v>883</v>
      </c>
      <c r="G16" s="676">
        <v>0.54200000000000004</v>
      </c>
      <c r="H16" s="648" t="s">
        <v>868</v>
      </c>
      <c r="I16" s="645">
        <v>46.811742883249842</v>
      </c>
      <c r="J16" s="640">
        <v>0.15</v>
      </c>
      <c r="K16" s="640">
        <v>0.15</v>
      </c>
      <c r="L16" s="568">
        <f>I16*J16</f>
        <v>7.0217614324874758</v>
      </c>
      <c r="M16" s="568">
        <f>I16*K16</f>
        <v>7.0217614324874758</v>
      </c>
      <c r="N16" s="679">
        <f>I16</f>
        <v>46.811742883249842</v>
      </c>
      <c r="R16" s="628">
        <v>70.521023141759159</v>
      </c>
      <c r="T16" s="629">
        <f>1/I16*100</f>
        <v>2.1362161252872718</v>
      </c>
      <c r="U16" s="629">
        <f>'NG-based'!BG15/1000</f>
        <v>5.6395690234496303E-2</v>
      </c>
      <c r="V16" s="629">
        <f>'NG-based'!BG14/1000</f>
        <v>2.0332696711451637</v>
      </c>
      <c r="W16" s="629">
        <f>'NG-based'!BG13/1000</f>
        <v>4.7418699158705252E-2</v>
      </c>
      <c r="X16" s="647">
        <f>'NG-based'!BG21</f>
        <v>143.56466220472174</v>
      </c>
      <c r="Y16" s="647">
        <f>'NG-based'!BG18</f>
        <v>138.77840070181432</v>
      </c>
      <c r="Z16" s="647">
        <f>'NG-based'!BG19</f>
        <v>0.191450369165336</v>
      </c>
      <c r="AA16" s="690">
        <f>'NG-based'!BG20</f>
        <v>7.6301141717822577E-6</v>
      </c>
      <c r="AC16" s="627">
        <f>AC9</f>
        <v>0.90909090909090906</v>
      </c>
      <c r="AD16" s="568">
        <f>42.5*0.74*8/100*AC16</f>
        <v>2.2872727272727271</v>
      </c>
      <c r="AF16" s="626">
        <f>T16*AD16</f>
        <v>4.8861088829297961</v>
      </c>
      <c r="AG16" s="625">
        <f>K16/(1-K16)*AF16</f>
        <v>0.86225450875231702</v>
      </c>
      <c r="AH16" s="625">
        <f>AF16*J16/(1-J16)</f>
        <v>0.86225450875231702</v>
      </c>
      <c r="AI16" s="624">
        <f>X16*AD16</f>
        <v>328.3715364609817</v>
      </c>
      <c r="AJ16" s="568">
        <f>K16/(1-K16)*AI16</f>
        <v>57.947918198996774</v>
      </c>
      <c r="AK16" s="568">
        <f>AI16*J16/(1-J16)</f>
        <v>57.947918198996767</v>
      </c>
      <c r="AL16" s="625">
        <f>AF16-AF3</f>
        <v>1.6704406095486126</v>
      </c>
      <c r="AM16" s="625">
        <f>AG16-AG3</f>
        <v>0.6930088101533074</v>
      </c>
      <c r="AN16" s="625">
        <f>AF16-AF9</f>
        <v>1.9833455111249649</v>
      </c>
      <c r="AO16" s="625">
        <f>AI16-AI9</f>
        <v>115.94710848290421</v>
      </c>
    </row>
    <row r="17" spans="1:41">
      <c r="G17" s="676"/>
      <c r="I17" s="645"/>
      <c r="N17" s="679"/>
    </row>
    <row r="18" spans="1:41" s="630" customFormat="1">
      <c r="A18" s="630" t="s">
        <v>882</v>
      </c>
      <c r="E18" s="676" t="s">
        <v>870</v>
      </c>
      <c r="F18" s="648" t="s">
        <v>879</v>
      </c>
      <c r="G18" s="652">
        <v>0.50219999999999998</v>
      </c>
      <c r="H18" s="648" t="s">
        <v>874</v>
      </c>
      <c r="I18" s="644">
        <v>44.9</v>
      </c>
      <c r="J18" s="646">
        <v>0.2</v>
      </c>
      <c r="K18" s="646">
        <v>0.15</v>
      </c>
      <c r="L18" s="631">
        <f>I18*J18</f>
        <v>8.98</v>
      </c>
      <c r="M18" s="631">
        <f>I18*K18</f>
        <v>6.7349999999999994</v>
      </c>
      <c r="N18" s="681">
        <f>I18</f>
        <v>44.9</v>
      </c>
      <c r="R18" s="636">
        <v>189.8</v>
      </c>
      <c r="S18" s="636"/>
      <c r="T18" s="635">
        <f>1/I18*100</f>
        <v>2.2271714922048997</v>
      </c>
      <c r="U18" s="635"/>
      <c r="V18" s="635"/>
      <c r="W18" s="635"/>
      <c r="X18" s="636">
        <f>R18+69.8</f>
        <v>259.60000000000002</v>
      </c>
      <c r="AC18" s="643">
        <f>PTW!D9</f>
        <v>0.93457939343865415</v>
      </c>
      <c r="AD18" s="631">
        <f>42.5*0.74*8/100*AC18</f>
        <v>2.3514017538916541</v>
      </c>
      <c r="AF18" s="632">
        <f>T18*AD18</f>
        <v>5.2369749529880938</v>
      </c>
      <c r="AG18" s="632">
        <f>K18/(1-K18)*AF18</f>
        <v>0.92417205052731077</v>
      </c>
      <c r="AH18" s="632">
        <f>AF18*J18/(1-J18)</f>
        <v>1.3092437382470234</v>
      </c>
      <c r="AI18" s="631">
        <f>X18*AD18</f>
        <v>610.42389531027345</v>
      </c>
      <c r="AJ18" s="631">
        <f>K18/(1-K18)*AI18</f>
        <v>107.72186387828356</v>
      </c>
      <c r="AK18" s="631">
        <f>AI18*J18/(1-J18)</f>
        <v>152.60597382756836</v>
      </c>
      <c r="AL18" s="632">
        <f>AF18-AF3</f>
        <v>2.0213066796069104</v>
      </c>
      <c r="AM18" s="632">
        <f>AI18-AI3</f>
        <v>382.07630626871395</v>
      </c>
    </row>
    <row r="19" spans="1:41" s="630" customFormat="1">
      <c r="A19" s="630" t="s">
        <v>881</v>
      </c>
      <c r="E19" s="676" t="s">
        <v>870</v>
      </c>
      <c r="F19" s="648" t="s">
        <v>879</v>
      </c>
      <c r="G19" s="676">
        <v>0.47460000000000002</v>
      </c>
      <c r="H19" s="648" t="s">
        <v>868</v>
      </c>
      <c r="I19" s="644">
        <v>42.45</v>
      </c>
      <c r="J19" s="646">
        <v>0.2</v>
      </c>
      <c r="K19" s="646">
        <v>0.15</v>
      </c>
      <c r="L19" s="631">
        <f>I19*J19</f>
        <v>8.49</v>
      </c>
      <c r="M19" s="631">
        <f>I19*K19</f>
        <v>6.3675000000000006</v>
      </c>
      <c r="N19" s="681">
        <f>I19</f>
        <v>42.45</v>
      </c>
      <c r="R19" s="636">
        <v>206.9</v>
      </c>
      <c r="S19" s="636"/>
      <c r="T19" s="635">
        <f>1/I19*100</f>
        <v>2.3557126030624262</v>
      </c>
      <c r="U19" s="635"/>
      <c r="V19" s="635"/>
      <c r="W19" s="635"/>
      <c r="X19" s="636">
        <f>R19+67.5</f>
        <v>274.39999999999998</v>
      </c>
      <c r="AC19" s="643">
        <f>PTW!D18</f>
        <v>0.90909090909090906</v>
      </c>
      <c r="AD19" s="631">
        <f>42.5*0.74*8/100*AC19</f>
        <v>2.2872727272727271</v>
      </c>
      <c r="AF19" s="632">
        <f>T19*AD19</f>
        <v>5.3881571902773313</v>
      </c>
      <c r="AG19" s="632">
        <f>K19/(1-K19)*AF19</f>
        <v>0.95085126887247029</v>
      </c>
      <c r="AH19" s="632">
        <f>AF19*J19/(1-J19)</f>
        <v>1.3470392975693328</v>
      </c>
      <c r="AI19" s="631">
        <f>X19*AD19</f>
        <v>627.62763636363627</v>
      </c>
      <c r="AJ19" s="631">
        <f>K19/(1-K19)*AI19</f>
        <v>110.75781818181817</v>
      </c>
      <c r="AK19" s="631">
        <f>AI19*J19/(1-J19)</f>
        <v>156.90690909090907</v>
      </c>
      <c r="AN19" s="632">
        <f>AF19-AF9</f>
        <v>2.4853938184725002</v>
      </c>
      <c r="AO19" s="632">
        <f>AI19-AI9</f>
        <v>415.20320838555881</v>
      </c>
    </row>
    <row r="20" spans="1:41">
      <c r="A20" s="543" t="s">
        <v>880</v>
      </c>
      <c r="B20" s="675" t="s">
        <v>986</v>
      </c>
      <c r="E20" s="676" t="s">
        <v>870</v>
      </c>
      <c r="F20" s="648" t="s">
        <v>879</v>
      </c>
      <c r="G20" s="676">
        <v>0.50309999999999999</v>
      </c>
      <c r="H20" s="648" t="s">
        <v>868</v>
      </c>
      <c r="I20" s="645">
        <f>CtL!R8</f>
        <v>37.162441354056952</v>
      </c>
      <c r="J20" s="640">
        <v>0.15</v>
      </c>
      <c r="K20" s="640">
        <v>0.1</v>
      </c>
      <c r="L20" s="568">
        <f>I20*J20</f>
        <v>5.5743662031085428</v>
      </c>
      <c r="M20" s="568">
        <f>I20*K20</f>
        <v>3.7162441354056952</v>
      </c>
      <c r="N20" s="679">
        <f>I20</f>
        <v>37.162441354056952</v>
      </c>
      <c r="R20" s="628">
        <f>CtL!I28-CtL!H28</f>
        <v>128.15998767445751</v>
      </c>
      <c r="T20" s="629">
        <f>1/I20*100</f>
        <v>2.6908888747989428</v>
      </c>
      <c r="U20" s="629">
        <f>CtL!L8</f>
        <v>4.5473769159221675E-2</v>
      </c>
      <c r="V20" s="629">
        <f>CtL!K8</f>
        <v>7.2488961071699764E-3</v>
      </c>
      <c r="W20" s="629">
        <f>CtL!J8</f>
        <v>2.6381662095325509</v>
      </c>
      <c r="X20" s="647">
        <f>CtL!I28</f>
        <v>202.45998767445752</v>
      </c>
      <c r="Y20" s="647">
        <f>CtL!M18</f>
        <v>181.03369072632017</v>
      </c>
      <c r="Z20" s="647">
        <f>CtL!N18</f>
        <v>0.88769871000053058</v>
      </c>
      <c r="AA20" s="690">
        <f>CtL!O18</f>
        <v>2.8657454210426155E-3</v>
      </c>
      <c r="AC20" s="627">
        <f>PTW!D17</f>
        <v>0.90909090909090906</v>
      </c>
      <c r="AD20" s="568">
        <f>42.5*0.74*8/100*AC20</f>
        <v>2.2872727272727271</v>
      </c>
      <c r="AF20" s="626">
        <f>T20*AD20</f>
        <v>6.1547967354492181</v>
      </c>
      <c r="AG20" s="625">
        <f>K20/(1-K20)*AF20</f>
        <v>0.6838663039388021</v>
      </c>
      <c r="AH20" s="625">
        <f>AF20*J20/(1-J20)</f>
        <v>1.0861406003733913</v>
      </c>
      <c r="AI20" s="624">
        <f>X20*AD20</f>
        <v>463.08120817175916</v>
      </c>
      <c r="AJ20" s="568">
        <f>K20/(1-K20)*AI20</f>
        <v>51.453467574639909</v>
      </c>
      <c r="AK20" s="568">
        <f>AI20*J20/(1-J20)</f>
        <v>81.720213206781025</v>
      </c>
      <c r="AN20" s="625">
        <f>AF20-AF9</f>
        <v>3.252033363644387</v>
      </c>
      <c r="AO20" s="625">
        <f>AI20-AI9</f>
        <v>250.65678019368167</v>
      </c>
    </row>
    <row r="21" spans="1:41" s="630" customFormat="1">
      <c r="A21" s="630" t="s">
        <v>878</v>
      </c>
      <c r="E21" s="676" t="s">
        <v>870</v>
      </c>
      <c r="F21" s="648" t="s">
        <v>877</v>
      </c>
      <c r="G21" s="676">
        <v>0.41410000000000002</v>
      </c>
      <c r="H21" s="648" t="s">
        <v>868</v>
      </c>
      <c r="I21" s="644">
        <v>37.06</v>
      </c>
      <c r="J21" s="646">
        <v>0.15</v>
      </c>
      <c r="K21" s="646">
        <v>0.1</v>
      </c>
      <c r="L21" s="631">
        <f>I21*J21</f>
        <v>5.5590000000000002</v>
      </c>
      <c r="M21" s="631">
        <f>I21*K21</f>
        <v>3.7060000000000004</v>
      </c>
      <c r="N21" s="681">
        <f>I21</f>
        <v>37.06</v>
      </c>
      <c r="R21" s="636">
        <v>215.8</v>
      </c>
      <c r="S21" s="636"/>
      <c r="T21" s="635">
        <f>1/I21*100</f>
        <v>2.698327037236913</v>
      </c>
      <c r="U21" s="635"/>
      <c r="V21" s="635"/>
      <c r="W21" s="635"/>
      <c r="X21" s="636">
        <f>R21+74.3</f>
        <v>290.10000000000002</v>
      </c>
      <c r="AC21" s="643">
        <f>AC9</f>
        <v>0.90909090909090906</v>
      </c>
      <c r="AD21" s="631">
        <f>42.5*0.74*8/100*AC21</f>
        <v>2.2872727272727271</v>
      </c>
      <c r="AF21" s="632">
        <f>T21*AD21</f>
        <v>6.1718098415346114</v>
      </c>
      <c r="AG21" s="632">
        <f>K21/(1-K21)*AF21</f>
        <v>0.68575664905940137</v>
      </c>
      <c r="AH21" s="632">
        <f>AF21*J21/(1-J21)</f>
        <v>1.0891429132119901</v>
      </c>
      <c r="AI21" s="631">
        <f>X21*AD21</f>
        <v>663.53781818181824</v>
      </c>
      <c r="AJ21" s="631">
        <f>K21/(1-K21)*AI21</f>
        <v>73.726424242424258</v>
      </c>
      <c r="AK21" s="631">
        <f>AI21*J21/(1-J21)</f>
        <v>117.0949090909091</v>
      </c>
      <c r="AN21" s="632">
        <f>AF21-AF9</f>
        <v>3.2690464697297803</v>
      </c>
      <c r="AO21" s="632">
        <f>AI21-AI9</f>
        <v>451.11339020374078</v>
      </c>
    </row>
    <row r="22" spans="1:41">
      <c r="I22" s="645"/>
      <c r="N22" s="679"/>
    </row>
    <row r="23" spans="1:41" s="630" customFormat="1">
      <c r="A23" s="630" t="s">
        <v>876</v>
      </c>
      <c r="E23" s="676" t="s">
        <v>870</v>
      </c>
      <c r="F23" s="648" t="s">
        <v>875</v>
      </c>
      <c r="G23" s="652">
        <v>0.50219999999999998</v>
      </c>
      <c r="H23" s="648" t="s">
        <v>874</v>
      </c>
      <c r="I23" s="644">
        <v>35.299999999999997</v>
      </c>
      <c r="J23" s="637">
        <f t="shared" ref="J23:K26" si="14">J18+5%</f>
        <v>0.25</v>
      </c>
      <c r="K23" s="637">
        <f t="shared" si="14"/>
        <v>0.2</v>
      </c>
      <c r="L23" s="631">
        <f>I23*J23</f>
        <v>8.8249999999999993</v>
      </c>
      <c r="M23" s="631">
        <f>I23*K23</f>
        <v>7.06</v>
      </c>
      <c r="N23" s="681">
        <f>I23</f>
        <v>35.299999999999997</v>
      </c>
      <c r="R23" s="636">
        <f>171.6-69.8</f>
        <v>101.8</v>
      </c>
      <c r="S23" s="636"/>
      <c r="T23" s="635">
        <f>1/I23*100</f>
        <v>2.8328611898017</v>
      </c>
      <c r="U23" s="635"/>
      <c r="V23" s="635"/>
      <c r="W23" s="635"/>
      <c r="X23" s="636">
        <f>R23+69.8</f>
        <v>171.6</v>
      </c>
      <c r="AC23" s="643">
        <f>AC18</f>
        <v>0.93457939343865415</v>
      </c>
      <c r="AD23" s="631">
        <f>42.5*0.74*8/100*AC23</f>
        <v>2.3514017538916541</v>
      </c>
      <c r="AF23" s="632">
        <f>T23*AD23</f>
        <v>6.6611947702313152</v>
      </c>
      <c r="AG23" s="632">
        <f>K23/(1-K23)*AF23</f>
        <v>1.6652986925578288</v>
      </c>
      <c r="AH23" s="632">
        <f>AF23*J23/(1-J23)</f>
        <v>2.2203982567437719</v>
      </c>
      <c r="AI23" s="631">
        <f>X23*AD23</f>
        <v>403.50054096780781</v>
      </c>
      <c r="AJ23" s="631">
        <f t="shared" ref="AJ23:AJ31" si="15">K23/(1-K23)*AI23</f>
        <v>100.87513524195195</v>
      </c>
      <c r="AK23" s="631">
        <f t="shared" ref="AK23:AK31" si="16">AI23*J23/(1-J23)</f>
        <v>134.5001803226026</v>
      </c>
      <c r="AL23" s="632">
        <f>AF23-AF3</f>
        <v>3.4455264968501318</v>
      </c>
      <c r="AM23" s="632">
        <f>AI23-AI3</f>
        <v>175.15295192624831</v>
      </c>
    </row>
    <row r="24" spans="1:41" s="630" customFormat="1">
      <c r="A24" s="630" t="s">
        <v>873</v>
      </c>
      <c r="E24" s="676" t="s">
        <v>870</v>
      </c>
      <c r="F24" s="648" t="s">
        <v>869</v>
      </c>
      <c r="G24" s="676">
        <v>0.47460000000000002</v>
      </c>
      <c r="H24" s="648" t="s">
        <v>868</v>
      </c>
      <c r="I24" s="644">
        <v>35</v>
      </c>
      <c r="J24" s="637">
        <f t="shared" si="14"/>
        <v>0.25</v>
      </c>
      <c r="K24" s="637">
        <f t="shared" si="14"/>
        <v>0.2</v>
      </c>
      <c r="L24" s="631">
        <f>I24*J24</f>
        <v>8.75</v>
      </c>
      <c r="M24" s="631">
        <f>I24*K24</f>
        <v>7</v>
      </c>
      <c r="N24" s="681">
        <f>I24</f>
        <v>35</v>
      </c>
      <c r="R24" s="636">
        <f>194.8-67.5</f>
        <v>127.30000000000001</v>
      </c>
      <c r="S24" s="636"/>
      <c r="T24" s="635">
        <f>1/I24*100</f>
        <v>2.8571428571428572</v>
      </c>
      <c r="U24" s="635"/>
      <c r="V24" s="635"/>
      <c r="W24" s="635"/>
      <c r="X24" s="636">
        <f>R24+67.5</f>
        <v>194.8</v>
      </c>
      <c r="AC24" s="643">
        <f>AC19</f>
        <v>0.90909090909090906</v>
      </c>
      <c r="AD24" s="631">
        <f>42.5*0.74*8/100*AC24</f>
        <v>2.2872727272727271</v>
      </c>
      <c r="AF24" s="632">
        <f>T24*AD24</f>
        <v>6.535064935064935</v>
      </c>
      <c r="AG24" s="632">
        <f>K24/(1-K24)*AF24</f>
        <v>1.6337662337662338</v>
      </c>
      <c r="AH24" s="632">
        <f>AF24*J24/(1-J24)</f>
        <v>2.1783549783549785</v>
      </c>
      <c r="AI24" s="631">
        <f>X24*AD24</f>
        <v>445.56072727272726</v>
      </c>
      <c r="AJ24" s="631">
        <f t="shared" si="15"/>
        <v>111.39018181818182</v>
      </c>
      <c r="AK24" s="631">
        <f t="shared" si="16"/>
        <v>148.52024242424241</v>
      </c>
      <c r="AN24" s="632">
        <f>AF24-AF9</f>
        <v>3.6323015632601039</v>
      </c>
      <c r="AO24" s="632">
        <f>AI24-AI9</f>
        <v>233.13629929464977</v>
      </c>
    </row>
    <row r="25" spans="1:41">
      <c r="A25" s="543" t="s">
        <v>872</v>
      </c>
      <c r="B25" s="675" t="s">
        <v>987</v>
      </c>
      <c r="E25" s="676" t="s">
        <v>870</v>
      </c>
      <c r="F25" s="648" t="s">
        <v>869</v>
      </c>
      <c r="G25" s="676">
        <v>0.50309999999999999</v>
      </c>
      <c r="H25" s="648" t="s">
        <v>868</v>
      </c>
      <c r="I25" s="645">
        <f>'CtL(CCS)'!R8</f>
        <v>30.158378705424578</v>
      </c>
      <c r="J25" s="639">
        <f t="shared" si="14"/>
        <v>0.2</v>
      </c>
      <c r="K25" s="639">
        <f t="shared" si="14"/>
        <v>0.15000000000000002</v>
      </c>
      <c r="L25" s="568">
        <f>I25*J25</f>
        <v>6.031675741084916</v>
      </c>
      <c r="M25" s="568">
        <f>I25*K25</f>
        <v>4.5237568058136874</v>
      </c>
      <c r="N25" s="679">
        <f>I25</f>
        <v>30.158378705424578</v>
      </c>
      <c r="R25" s="628">
        <f>'CtL(CCS)'!J32-'CtL(CCS)'!I32</f>
        <v>75.510095296891834</v>
      </c>
      <c r="T25" s="629">
        <f>1/I25*100</f>
        <v>3.3158281145270267</v>
      </c>
      <c r="U25" s="629">
        <f>'CtL(CCS)'!L18</f>
        <v>4.6353909545323348E-2</v>
      </c>
      <c r="V25" s="629">
        <f>'CtL(CCS)'!K18</f>
        <v>1.4642268891659782E-2</v>
      </c>
      <c r="W25" s="629">
        <f>'CtL(CCS)'!J18</f>
        <v>2.5969033702392039</v>
      </c>
      <c r="X25" s="647">
        <f>'CtL(CCS)'!J32</f>
        <v>149.81009529689183</v>
      </c>
      <c r="Y25" s="647">
        <f>'CtL(CCS)'!M18-'CtL(CCS)'!M21</f>
        <v>134.03758229220239</v>
      </c>
      <c r="Z25" s="647">
        <f>'CtL(CCS)'!N18</f>
        <v>1.0587527874104825</v>
      </c>
      <c r="AA25" s="690">
        <f>'CtL(CCS)'!O18</f>
        <v>3.2765638467340662E-3</v>
      </c>
      <c r="AC25" s="627">
        <f>AC20</f>
        <v>0.90909090909090906</v>
      </c>
      <c r="AD25" s="568">
        <f>42.5*0.74*8/100*AC25</f>
        <v>2.2872727272727271</v>
      </c>
      <c r="AF25" s="626">
        <f>T25*AD25</f>
        <v>7.5842032146818168</v>
      </c>
      <c r="AG25" s="625">
        <f>K25/(1-K25)*AF25</f>
        <v>1.3383888025909092</v>
      </c>
      <c r="AH25" s="625">
        <f>AF25*J25/(1-J25)</f>
        <v>1.8960508036704542</v>
      </c>
      <c r="AI25" s="624">
        <f>X25*AD25</f>
        <v>342.65654524270894</v>
      </c>
      <c r="AJ25" s="568">
        <f t="shared" si="15"/>
        <v>60.468802101654532</v>
      </c>
      <c r="AK25" s="568">
        <f t="shared" si="16"/>
        <v>85.664136310677222</v>
      </c>
      <c r="AN25" s="625">
        <f>AF25-AF9</f>
        <v>4.6814398428769852</v>
      </c>
      <c r="AO25" s="625">
        <f>AI25-AI9</f>
        <v>130.23211726463146</v>
      </c>
    </row>
    <row r="26" spans="1:41" s="630" customFormat="1">
      <c r="A26" s="630" t="s">
        <v>871</v>
      </c>
      <c r="E26" s="676" t="s">
        <v>870</v>
      </c>
      <c r="F26" s="648" t="s">
        <v>869</v>
      </c>
      <c r="G26" s="676">
        <v>0.41410000000000002</v>
      </c>
      <c r="H26" s="648" t="s">
        <v>868</v>
      </c>
      <c r="I26" s="644">
        <v>33.24</v>
      </c>
      <c r="J26" s="637">
        <f t="shared" si="14"/>
        <v>0.2</v>
      </c>
      <c r="K26" s="637">
        <f t="shared" si="14"/>
        <v>0.15000000000000002</v>
      </c>
      <c r="L26" s="631">
        <f>I26*J26</f>
        <v>6.6480000000000006</v>
      </c>
      <c r="M26" s="631">
        <f>I26*K26</f>
        <v>4.9860000000000007</v>
      </c>
      <c r="N26" s="681">
        <f>I26</f>
        <v>33.24</v>
      </c>
      <c r="R26" s="636">
        <f>251.3-74.3</f>
        <v>177</v>
      </c>
      <c r="S26" s="636"/>
      <c r="T26" s="635">
        <f>1/I26*100</f>
        <v>3.0084235860409145</v>
      </c>
      <c r="U26" s="635"/>
      <c r="V26" s="635"/>
      <c r="W26" s="635"/>
      <c r="X26" s="636">
        <f>R26+74.3</f>
        <v>251.3</v>
      </c>
      <c r="AC26" s="643">
        <f>AC21</f>
        <v>0.90909090909090906</v>
      </c>
      <c r="AD26" s="631">
        <f>42.5*0.74*8/100*AC26</f>
        <v>2.2872727272727271</v>
      </c>
      <c r="AF26" s="632">
        <f>T26*AD26</f>
        <v>6.8810852204354003</v>
      </c>
      <c r="AG26" s="632">
        <f>K26/(1-K26)*AF26</f>
        <v>1.2143091565474238</v>
      </c>
      <c r="AH26" s="632">
        <f>AF26*J26/(1-J26)</f>
        <v>1.7202713051088503</v>
      </c>
      <c r="AI26" s="631">
        <f>X26*AD26</f>
        <v>574.79163636363637</v>
      </c>
      <c r="AJ26" s="631">
        <f t="shared" si="15"/>
        <v>101.43381818181821</v>
      </c>
      <c r="AK26" s="631">
        <f t="shared" si="16"/>
        <v>143.69790909090909</v>
      </c>
      <c r="AN26" s="632">
        <f>AF26-AF9</f>
        <v>3.9783218486305691</v>
      </c>
      <c r="AO26" s="632">
        <f>AI26-AI9</f>
        <v>362.36720838555891</v>
      </c>
    </row>
    <row r="27" spans="1:41">
      <c r="AJ27" s="568">
        <f t="shared" si="15"/>
        <v>0</v>
      </c>
      <c r="AK27" s="568">
        <f t="shared" si="16"/>
        <v>0</v>
      </c>
    </row>
    <row r="28" spans="1:41">
      <c r="I28" s="628" t="s">
        <v>834</v>
      </c>
      <c r="X28" s="629"/>
      <c r="AJ28" s="568">
        <f t="shared" si="15"/>
        <v>0</v>
      </c>
      <c r="AK28" s="568">
        <f t="shared" si="16"/>
        <v>0</v>
      </c>
    </row>
    <row r="29" spans="1:41">
      <c r="A29" s="543" t="s">
        <v>867</v>
      </c>
      <c r="B29" s="675" t="s">
        <v>970</v>
      </c>
      <c r="D29" s="568"/>
      <c r="I29" s="642">
        <f>1/T29</f>
        <v>0.65265006170234385</v>
      </c>
      <c r="J29" s="639">
        <v>0.2</v>
      </c>
      <c r="K29" s="639">
        <v>0.1</v>
      </c>
      <c r="L29" s="568">
        <f>I29*J29</f>
        <v>0.13053001234046877</v>
      </c>
      <c r="M29" s="568">
        <f>I29*K29</f>
        <v>6.5265006170234383E-2</v>
      </c>
      <c r="N29" s="639"/>
      <c r="O29" s="639"/>
      <c r="P29" s="639"/>
      <c r="Q29" s="639"/>
      <c r="T29" s="642">
        <v>1.5322146716597924</v>
      </c>
      <c r="U29" s="642"/>
      <c r="V29" s="642"/>
      <c r="W29" s="642"/>
      <c r="X29" s="642">
        <v>209.77260062399628</v>
      </c>
      <c r="AC29" s="627">
        <f>PTW!D9</f>
        <v>0.93457939343865415</v>
      </c>
      <c r="AD29" s="568">
        <f>42.5*0.74*8/100*AC29</f>
        <v>2.3514017538916541</v>
      </c>
      <c r="AF29" s="626">
        <f>T29*AD29</f>
        <v>3.6028522662793607</v>
      </c>
      <c r="AG29" s="625">
        <f>K29/(1-K29)*AF29</f>
        <v>0.40031691847548456</v>
      </c>
      <c r="AH29" s="625">
        <f>AF29*J29/(1-J29)</f>
        <v>0.90071306656984018</v>
      </c>
      <c r="AI29" s="624">
        <f>X29*AD29</f>
        <v>493.25966102567833</v>
      </c>
      <c r="AJ29" s="568">
        <f t="shared" si="15"/>
        <v>54.80662900285315</v>
      </c>
      <c r="AK29" s="568">
        <f t="shared" si="16"/>
        <v>123.31491525641958</v>
      </c>
      <c r="AL29" s="625">
        <f>AF29-AF3</f>
        <v>0.38718399289817729</v>
      </c>
      <c r="AM29" s="625">
        <f>AI29-AI3</f>
        <v>264.91207198411882</v>
      </c>
    </row>
    <row r="30" spans="1:41">
      <c r="A30" s="543" t="s">
        <v>866</v>
      </c>
      <c r="B30" s="675" t="s">
        <v>970</v>
      </c>
      <c r="D30" s="568"/>
      <c r="I30" s="642">
        <f>1/T30</f>
        <v>1.1474064501422363</v>
      </c>
      <c r="J30" s="639">
        <v>0.2</v>
      </c>
      <c r="K30" s="639">
        <v>0.1</v>
      </c>
      <c r="L30" s="568">
        <f>I30*J30</f>
        <v>0.22948129002844728</v>
      </c>
      <c r="M30" s="568">
        <f>I30*K30</f>
        <v>0.11474064501422364</v>
      </c>
      <c r="N30" s="639"/>
      <c r="O30" s="639"/>
      <c r="P30" s="639"/>
      <c r="Q30" s="639"/>
      <c r="T30" s="642">
        <v>0.87153074647265294</v>
      </c>
      <c r="U30" s="642"/>
      <c r="V30" s="642"/>
      <c r="W30" s="642"/>
      <c r="X30" s="642">
        <v>95.596205512123817</v>
      </c>
      <c r="AC30" s="627">
        <f>AC29</f>
        <v>0.93457939343865415</v>
      </c>
      <c r="AD30" s="568">
        <f>42.5*0.74*8/100*AC30</f>
        <v>2.3514017538916541</v>
      </c>
      <c r="AF30" s="626">
        <f>T30*AD30</f>
        <v>2.0493189258262987</v>
      </c>
      <c r="AG30" s="625">
        <f>K30/(1-K30)*AF30</f>
        <v>0.22770210286958875</v>
      </c>
      <c r="AH30" s="625">
        <f>AF30*J30/(1-J30)</f>
        <v>0.51232973145657468</v>
      </c>
      <c r="AI30" s="624">
        <f>X30*AD30</f>
        <v>224.78508530659494</v>
      </c>
      <c r="AJ30" s="568">
        <f t="shared" si="15"/>
        <v>24.976120589621662</v>
      </c>
      <c r="AK30" s="568">
        <f t="shared" si="16"/>
        <v>56.196271326648741</v>
      </c>
      <c r="AL30" s="625">
        <f>AF30-AF3</f>
        <v>-1.1663493475548847</v>
      </c>
      <c r="AM30" s="625">
        <f>AI30-AI3</f>
        <v>-3.5625037349645652</v>
      </c>
    </row>
    <row r="31" spans="1:41">
      <c r="A31" s="543" t="s">
        <v>865</v>
      </c>
      <c r="B31" s="675" t="s">
        <v>970</v>
      </c>
      <c r="D31" s="568"/>
      <c r="I31" s="642">
        <f>1/T31</f>
        <v>1.3831323755298897</v>
      </c>
      <c r="J31" s="639">
        <v>0.2</v>
      </c>
      <c r="K31" s="639">
        <v>0.6</v>
      </c>
      <c r="L31" s="568">
        <f>I31*J31</f>
        <v>0.27662647510597793</v>
      </c>
      <c r="M31" s="568">
        <f>I31*K31</f>
        <v>0.82987942531793379</v>
      </c>
      <c r="N31" s="639"/>
      <c r="O31" s="639"/>
      <c r="P31" s="639"/>
      <c r="Q31" s="639"/>
      <c r="T31" s="642">
        <v>0.72299659648765835</v>
      </c>
      <c r="U31" s="642"/>
      <c r="V31" s="642"/>
      <c r="W31" s="642"/>
      <c r="X31" s="642">
        <v>68.15914937151814</v>
      </c>
      <c r="AC31" s="627">
        <f>AC30</f>
        <v>0.93457939343865415</v>
      </c>
      <c r="AD31" s="568">
        <f>42.5*0.74*8/100*AC31</f>
        <v>2.3514017538916541</v>
      </c>
      <c r="AF31" s="626">
        <f>T31*AD31</f>
        <v>1.7000554650387762</v>
      </c>
      <c r="AG31" s="625">
        <f>K31/(1-K31)*AF31</f>
        <v>2.5500831975581639</v>
      </c>
      <c r="AH31" s="625">
        <f>AF31*J31/(1-J31)</f>
        <v>0.42501386625969406</v>
      </c>
      <c r="AI31" s="624">
        <f>X31*AD31</f>
        <v>160.26954337595097</v>
      </c>
      <c r="AJ31" s="568">
        <f t="shared" si="15"/>
        <v>240.40431506392642</v>
      </c>
      <c r="AK31" s="568">
        <f t="shared" si="16"/>
        <v>40.067385843987736</v>
      </c>
      <c r="AL31" s="625">
        <f>AF31-AF3</f>
        <v>-1.5156128083424072</v>
      </c>
      <c r="AM31" s="625">
        <f>AI31-AI3</f>
        <v>-68.078045665608528</v>
      </c>
    </row>
    <row r="32" spans="1:41">
      <c r="A32" s="543" t="s">
        <v>864</v>
      </c>
      <c r="B32" s="675" t="s">
        <v>970</v>
      </c>
      <c r="D32" s="568"/>
      <c r="I32" s="629">
        <v>2.5167919315831879</v>
      </c>
      <c r="J32" s="639">
        <v>0.1</v>
      </c>
      <c r="K32" s="639">
        <v>0.1</v>
      </c>
      <c r="L32" s="568">
        <f>I32*J32</f>
        <v>0.25167919315831883</v>
      </c>
      <c r="M32" s="568">
        <f>I32*K32</f>
        <v>0.25167919315831883</v>
      </c>
      <c r="N32" s="639"/>
      <c r="O32" s="639"/>
      <c r="P32" s="639"/>
      <c r="Q32" s="639"/>
      <c r="T32" s="642">
        <f>1/I32</f>
        <v>0.39733121655827547</v>
      </c>
      <c r="U32" s="642"/>
      <c r="V32" s="642"/>
      <c r="W32" s="642"/>
      <c r="X32" s="642">
        <v>33.908202949077335</v>
      </c>
      <c r="AC32" s="627">
        <f>AC31</f>
        <v>0.93457939343865415</v>
      </c>
      <c r="AD32" s="568">
        <f>42.5*0.74*8/100*AC32</f>
        <v>2.3514017538916541</v>
      </c>
      <c r="AF32" s="626">
        <f>T32*AD32</f>
        <v>0.93428531949103355</v>
      </c>
      <c r="AG32" s="625">
        <f>K32/(1-K32)*AF32</f>
        <v>0.10380947994344818</v>
      </c>
      <c r="AH32" s="625">
        <f>AF32*J32/(1-J32)</f>
        <v>0.10380947994344818</v>
      </c>
      <c r="AI32" s="624">
        <f>X32*AD32</f>
        <v>79.7318078857746</v>
      </c>
      <c r="AJ32" s="568">
        <f>-K32/(1-K32)*AI32</f>
        <v>-8.8590897650860665</v>
      </c>
      <c r="AK32" s="568">
        <f>-AI32*J32/(1-J32)</f>
        <v>-8.8590897650860665</v>
      </c>
      <c r="AL32" s="625">
        <f>AF32-AF3</f>
        <v>-2.2813829538901498</v>
      </c>
      <c r="AM32" s="625">
        <f>AI32-AI3</f>
        <v>-148.6157811557849</v>
      </c>
    </row>
    <row r="33" spans="1:39">
      <c r="A33" s="543" t="s">
        <v>863</v>
      </c>
      <c r="B33" s="675" t="s">
        <v>970</v>
      </c>
      <c r="D33" s="568"/>
      <c r="I33" s="642">
        <f>1/T33</f>
        <v>4.5454545454545459</v>
      </c>
      <c r="J33" s="639">
        <f>J32</f>
        <v>0.1</v>
      </c>
      <c r="K33" s="639">
        <f>K32</f>
        <v>0.1</v>
      </c>
      <c r="L33" s="568">
        <f>I33*J33</f>
        <v>0.45454545454545459</v>
      </c>
      <c r="M33" s="568">
        <f>I33*K33</f>
        <v>0.45454545454545459</v>
      </c>
      <c r="N33" s="639"/>
      <c r="O33" s="639"/>
      <c r="P33" s="639"/>
      <c r="Q33" s="639"/>
      <c r="T33" s="642">
        <v>0.22</v>
      </c>
      <c r="U33" s="642"/>
      <c r="V33" s="642"/>
      <c r="W33" s="642"/>
      <c r="X33" s="642">
        <v>4.0475670000000008</v>
      </c>
      <c r="AC33" s="627">
        <f>AC29</f>
        <v>0.93457939343865415</v>
      </c>
      <c r="AD33" s="568">
        <f>42.5*0.74*8/100*AC33</f>
        <v>2.3514017538916541</v>
      </c>
      <c r="AF33" s="626">
        <f>T33*AD33</f>
        <v>0.5173083858561639</v>
      </c>
      <c r="AG33" s="625">
        <f>K33/(1-K33)*AF33</f>
        <v>5.747870953957377E-2</v>
      </c>
      <c r="AH33" s="625">
        <f>AF33*J33/(1-J33)</f>
        <v>5.7478709539573763E-2</v>
      </c>
      <c r="AI33" s="624">
        <f>X33*AD33</f>
        <v>9.5174561427939821</v>
      </c>
      <c r="AJ33" s="568">
        <f t="shared" ref="AJ33:AJ42" si="17">K33/(1-K33)*AI33</f>
        <v>1.0574951269771091</v>
      </c>
      <c r="AK33" s="568">
        <f t="shared" ref="AK33:AK42" si="18">AI33*J33/(1-J33)</f>
        <v>1.0574951269771091</v>
      </c>
      <c r="AL33" s="625">
        <f>AF33-AF3</f>
        <v>-2.6983598875250197</v>
      </c>
      <c r="AM33" s="625">
        <f>AI33-AI3</f>
        <v>-218.83013289876553</v>
      </c>
    </row>
    <row r="34" spans="1:39">
      <c r="B34" s="675"/>
      <c r="D34" s="568"/>
      <c r="I34" s="629"/>
      <c r="J34" s="639"/>
      <c r="K34" s="639"/>
      <c r="L34" s="639"/>
      <c r="M34" s="639"/>
      <c r="N34" s="568"/>
      <c r="O34" s="568"/>
      <c r="P34" s="568"/>
      <c r="Q34" s="568"/>
      <c r="T34" s="642"/>
      <c r="U34" s="642"/>
      <c r="V34" s="642"/>
      <c r="W34" s="642"/>
      <c r="X34" s="642"/>
      <c r="AJ34" s="568">
        <f t="shared" si="17"/>
        <v>0</v>
      </c>
      <c r="AK34" s="568">
        <f t="shared" si="18"/>
        <v>0</v>
      </c>
    </row>
    <row r="35" spans="1:39">
      <c r="A35" s="543" t="s">
        <v>862</v>
      </c>
      <c r="B35" s="675" t="s">
        <v>970</v>
      </c>
      <c r="D35" s="568"/>
      <c r="I35" s="642">
        <f>1/T35</f>
        <v>1.0299014639199642</v>
      </c>
      <c r="J35" s="639">
        <v>0.3</v>
      </c>
      <c r="K35" s="639">
        <v>0.1</v>
      </c>
      <c r="L35" s="568">
        <f>I35*J35</f>
        <v>0.30897043917598926</v>
      </c>
      <c r="M35" s="568">
        <f>I35*K35</f>
        <v>0.10299014639199643</v>
      </c>
      <c r="N35" s="568"/>
      <c r="O35" s="568"/>
      <c r="P35" s="568"/>
      <c r="Q35" s="568"/>
      <c r="T35" s="642">
        <v>0.97096667499999989</v>
      </c>
      <c r="U35" s="642"/>
      <c r="V35" s="642"/>
      <c r="W35" s="642"/>
      <c r="X35" s="642">
        <v>172.46819646066666</v>
      </c>
      <c r="AC35" s="627">
        <f>AC9</f>
        <v>0.90909090909090906</v>
      </c>
      <c r="AD35" s="568">
        <f>42.5*0.74*8/100*AC35</f>
        <v>2.2872727272727271</v>
      </c>
      <c r="AF35" s="626">
        <f>T35*AD35</f>
        <v>2.2208655948181812</v>
      </c>
      <c r="AG35" s="625">
        <f>K35/(1-K35)*AF35</f>
        <v>0.24676284386868683</v>
      </c>
      <c r="AH35" s="625">
        <f>AF35*J35/(1-J35)</f>
        <v>0.95179954063636341</v>
      </c>
      <c r="AI35" s="624">
        <f>X35*AD35</f>
        <v>394.48180208639752</v>
      </c>
      <c r="AJ35" s="568">
        <f t="shared" si="17"/>
        <v>43.831311342933063</v>
      </c>
      <c r="AK35" s="568">
        <f t="shared" si="18"/>
        <v>169.06362946559895</v>
      </c>
      <c r="AL35" s="625">
        <f>AF35-AF9</f>
        <v>-0.68189777698664988</v>
      </c>
      <c r="AM35" s="625">
        <f>AI35-AI9</f>
        <v>182.05737410832003</v>
      </c>
    </row>
    <row r="36" spans="1:39">
      <c r="A36" s="543" t="s">
        <v>861</v>
      </c>
      <c r="B36" s="675" t="s">
        <v>970</v>
      </c>
      <c r="D36" s="568"/>
      <c r="I36" s="629">
        <v>4.6374023006303577</v>
      </c>
      <c r="J36" s="639">
        <v>0.1</v>
      </c>
      <c r="K36" s="639">
        <v>0.1</v>
      </c>
      <c r="L36" s="568">
        <f>I36*J36</f>
        <v>0.46374023006303577</v>
      </c>
      <c r="M36" s="568">
        <f>I36*K36</f>
        <v>0.46374023006303577</v>
      </c>
      <c r="N36" s="568"/>
      <c r="O36" s="568"/>
      <c r="P36" s="568"/>
      <c r="Q36" s="568"/>
      <c r="T36" s="642">
        <f>1/I36</f>
        <v>0.21563796607943006</v>
      </c>
      <c r="U36" s="642"/>
      <c r="V36" s="642"/>
      <c r="W36" s="642"/>
      <c r="X36" s="642">
        <v>17.704673183563482</v>
      </c>
      <c r="AC36" s="627">
        <f>AC35</f>
        <v>0.90909090909090906</v>
      </c>
      <c r="AD36" s="568">
        <f>42.5*0.74*8/100*AC36</f>
        <v>2.2872727272727271</v>
      </c>
      <c r="AF36" s="626">
        <f>T36*AD36</f>
        <v>0.49322283877804179</v>
      </c>
      <c r="AG36" s="625">
        <f>K36/(1-K36)*AF36</f>
        <v>5.4802537642004649E-2</v>
      </c>
      <c r="AH36" s="625">
        <f>AF36*J36/(1-J36)</f>
        <v>5.4802537642004649E-2</v>
      </c>
      <c r="AI36" s="624">
        <f>X36*AD36</f>
        <v>40.495416118041561</v>
      </c>
      <c r="AJ36" s="568">
        <f t="shared" si="17"/>
        <v>4.4994906797823964</v>
      </c>
      <c r="AK36" s="568">
        <f t="shared" si="18"/>
        <v>4.4994906797823955</v>
      </c>
      <c r="AL36" s="625">
        <f>AF36-AF9</f>
        <v>-2.4095405330267892</v>
      </c>
      <c r="AM36" s="625">
        <f>AI36-AI9</f>
        <v>-171.92901186003593</v>
      </c>
    </row>
    <row r="37" spans="1:39">
      <c r="A37" s="543" t="s">
        <v>860</v>
      </c>
      <c r="B37" s="675" t="s">
        <v>970</v>
      </c>
      <c r="D37" s="568"/>
      <c r="I37" s="642">
        <f>1/T37</f>
        <v>17.241379310344826</v>
      </c>
      <c r="J37" s="639">
        <v>0.2</v>
      </c>
      <c r="K37" s="639">
        <v>0.2</v>
      </c>
      <c r="L37" s="568">
        <f>I37*J37</f>
        <v>3.4482758620689653</v>
      </c>
      <c r="M37" s="568">
        <f>I37*K37</f>
        <v>3.4482758620689653</v>
      </c>
      <c r="N37" s="568"/>
      <c r="O37" s="568"/>
      <c r="P37" s="568"/>
      <c r="Q37" s="568"/>
      <c r="T37" s="642">
        <v>5.8000000000000003E-2</v>
      </c>
      <c r="U37" s="642"/>
      <c r="V37" s="642"/>
      <c r="W37" s="642"/>
      <c r="X37" s="642">
        <v>7.2399999999999949</v>
      </c>
      <c r="AC37" s="627">
        <f>AC36</f>
        <v>0.90909090909090906</v>
      </c>
      <c r="AD37" s="568">
        <f>42.5*0.74*8/100*AC37</f>
        <v>2.2872727272727271</v>
      </c>
      <c r="AF37" s="626">
        <f>T37*AD37</f>
        <v>0.13266181818181819</v>
      </c>
      <c r="AG37" s="625">
        <f>K37/(1-K37)*AF37</f>
        <v>3.3165454545454547E-2</v>
      </c>
      <c r="AH37" s="625">
        <f>AF37*J37/(1-J37)</f>
        <v>3.3165454545454547E-2</v>
      </c>
      <c r="AI37" s="624">
        <f>X37*AD37</f>
        <v>16.559854545454531</v>
      </c>
      <c r="AJ37" s="568">
        <f t="shared" si="17"/>
        <v>4.1399636363636327</v>
      </c>
      <c r="AK37" s="568">
        <f t="shared" si="18"/>
        <v>4.1399636363636327</v>
      </c>
      <c r="AL37" s="625">
        <f>AF37-AF9</f>
        <v>-2.7701015536230131</v>
      </c>
      <c r="AM37" s="625">
        <f>AI37-AI9</f>
        <v>-195.86457343262296</v>
      </c>
    </row>
    <row r="38" spans="1:39">
      <c r="I38" s="629"/>
      <c r="AJ38" s="568">
        <f t="shared" si="17"/>
        <v>0</v>
      </c>
      <c r="AK38" s="568">
        <f t="shared" si="18"/>
        <v>0</v>
      </c>
    </row>
    <row r="39" spans="1:39">
      <c r="A39" s="675" t="s">
        <v>988</v>
      </c>
      <c r="B39" s="675" t="s">
        <v>989</v>
      </c>
      <c r="C39" s="543">
        <v>20.3</v>
      </c>
      <c r="D39" s="682" t="s">
        <v>999</v>
      </c>
      <c r="I39" s="629">
        <f>1/T39*100</f>
        <v>39.242451469248458</v>
      </c>
      <c r="J39" s="639">
        <v>0.1</v>
      </c>
      <c r="K39" s="639">
        <v>0.1</v>
      </c>
      <c r="L39" s="568">
        <f>I39*J39</f>
        <v>3.9242451469248461</v>
      </c>
      <c r="M39" s="568">
        <f>I39*K39</f>
        <v>3.9242451469248461</v>
      </c>
      <c r="N39" s="639"/>
      <c r="O39" s="639"/>
      <c r="P39" s="639"/>
      <c r="Q39" s="639"/>
      <c r="T39" s="629">
        <v>2.5482607802512782</v>
      </c>
      <c r="X39" s="629">
        <v>225.43975888354808</v>
      </c>
      <c r="Y39" s="568"/>
      <c r="Z39" s="568">
        <v>2.5720000000000001</v>
      </c>
      <c r="AA39" s="568">
        <v>2.1000000000000001E-2</v>
      </c>
      <c r="AB39" s="568">
        <v>0.33</v>
      </c>
      <c r="AC39" s="627">
        <f>PTW!D22</f>
        <v>0.2857142857142857</v>
      </c>
      <c r="AD39" s="568">
        <f>42.5*0.74*8/100*AC39</f>
        <v>0.71885714285714286</v>
      </c>
      <c r="AF39" s="626">
        <f>T39*AD39</f>
        <v>1.8318354637463474</v>
      </c>
      <c r="AG39" s="625">
        <f>K39/(1-K39)*AF39</f>
        <v>0.20353727374959418</v>
      </c>
      <c r="AH39" s="625">
        <f>AF39*J39/(1-J39)</f>
        <v>0.20353727374959416</v>
      </c>
      <c r="AI39" s="624">
        <f>X39:X42*AD39</f>
        <v>162.05898095743058</v>
      </c>
      <c r="AJ39" s="568">
        <f t="shared" si="17"/>
        <v>18.006553439714509</v>
      </c>
      <c r="AK39" s="568">
        <f t="shared" si="18"/>
        <v>18.006553439714509</v>
      </c>
      <c r="AL39" s="625">
        <f>AF39-AF3</f>
        <v>-1.383832809634836</v>
      </c>
      <c r="AM39" s="625">
        <f>AI39-AI3</f>
        <v>-66.288608084128924</v>
      </c>
    </row>
    <row r="40" spans="1:39">
      <c r="A40" s="543" t="s">
        <v>859</v>
      </c>
      <c r="B40" s="675" t="s">
        <v>990</v>
      </c>
      <c r="C40" s="543">
        <v>14</v>
      </c>
      <c r="D40" s="639"/>
      <c r="I40" s="629">
        <f>1/T40*100</f>
        <v>39.242451469248458</v>
      </c>
      <c r="J40" s="639">
        <v>0.1</v>
      </c>
      <c r="K40" s="639">
        <v>0.1</v>
      </c>
      <c r="L40" s="568">
        <f>I40*J40</f>
        <v>3.9242451469248461</v>
      </c>
      <c r="M40" s="568">
        <f>I40*K40</f>
        <v>3.9242451469248461</v>
      </c>
      <c r="N40" s="639"/>
      <c r="O40" s="639"/>
      <c r="P40" s="639"/>
      <c r="Q40" s="639"/>
      <c r="T40" s="629">
        <f t="shared" ref="T40:X42" si="19">T39</f>
        <v>2.5482607802512782</v>
      </c>
      <c r="X40" s="629">
        <f t="shared" si="19"/>
        <v>225.43975888354808</v>
      </c>
      <c r="Y40" s="568"/>
      <c r="Z40" s="568"/>
      <c r="AA40" s="568"/>
      <c r="AB40" s="568"/>
      <c r="AD40" s="568">
        <f>(C40/20.3)*$AD$39</f>
        <v>0.49576354679802953</v>
      </c>
      <c r="AF40" s="626">
        <f>T40*AD40</f>
        <v>1.2633348025836879</v>
      </c>
      <c r="AG40" s="625">
        <f>K40/(1-K40)*AF40</f>
        <v>0.14037053362040977</v>
      </c>
      <c r="AH40" s="625">
        <f>AF40*J40/(1-J40)</f>
        <v>0.14037053362040977</v>
      </c>
      <c r="AI40" s="624">
        <f>X40*AD40</f>
        <v>111.76481445340038</v>
      </c>
      <c r="AJ40" s="568">
        <f t="shared" si="17"/>
        <v>12.418312717044486</v>
      </c>
      <c r="AK40" s="568">
        <f t="shared" si="18"/>
        <v>12.418312717044486</v>
      </c>
      <c r="AL40" s="625">
        <f>AF40-AF4</f>
        <v>-1.8317459105457012</v>
      </c>
      <c r="AM40" s="625">
        <f>AI40-AI4</f>
        <v>-108.01973999910065</v>
      </c>
    </row>
    <row r="41" spans="1:39">
      <c r="A41" s="543" t="s">
        <v>858</v>
      </c>
      <c r="B41" s="675" t="s">
        <v>991</v>
      </c>
      <c r="C41" s="543">
        <v>16</v>
      </c>
      <c r="D41" s="639"/>
      <c r="I41" s="629">
        <f>1/T41*100</f>
        <v>39.242451469248458</v>
      </c>
      <c r="J41" s="639">
        <v>0.1</v>
      </c>
      <c r="K41" s="639">
        <v>0.1</v>
      </c>
      <c r="L41" s="568">
        <f>I41*J41</f>
        <v>3.9242451469248461</v>
      </c>
      <c r="M41" s="568">
        <f>I41*K41</f>
        <v>3.9242451469248461</v>
      </c>
      <c r="N41" s="639"/>
      <c r="O41" s="639"/>
      <c r="P41" s="639"/>
      <c r="Q41" s="639"/>
      <c r="T41" s="629">
        <f t="shared" si="19"/>
        <v>2.5482607802512782</v>
      </c>
      <c r="X41" s="629">
        <f t="shared" si="19"/>
        <v>225.43975888354808</v>
      </c>
      <c r="Y41" s="568"/>
      <c r="Z41" s="568"/>
      <c r="AA41" s="568"/>
      <c r="AB41" s="568"/>
      <c r="AD41" s="568">
        <f>(C41/20.3)*$AD$39</f>
        <v>0.5665869106263195</v>
      </c>
      <c r="AF41" s="626">
        <f>T41*AD41</f>
        <v>1.4438112029527861</v>
      </c>
      <c r="AG41" s="625">
        <f>K41/(1-K41)*AF41</f>
        <v>0.16042346699475402</v>
      </c>
      <c r="AH41" s="625">
        <f>AF41*J41/(1-J41)</f>
        <v>0.16042346699475402</v>
      </c>
      <c r="AI41" s="624">
        <f>X41*AD41</f>
        <v>127.73121651817188</v>
      </c>
      <c r="AJ41" s="568">
        <f t="shared" si="17"/>
        <v>14.192357390907988</v>
      </c>
      <c r="AK41" s="568">
        <f t="shared" si="18"/>
        <v>14.192357390907986</v>
      </c>
      <c r="AL41" s="625">
        <f>AF41-AF5</f>
        <v>-1.8522487772629266</v>
      </c>
      <c r="AM41" s="625">
        <f>AI41-AI5</f>
        <v>-106.32506224942661</v>
      </c>
    </row>
    <row r="42" spans="1:39">
      <c r="A42" s="543" t="s">
        <v>857</v>
      </c>
      <c r="B42" s="675" t="s">
        <v>992</v>
      </c>
      <c r="C42" s="543">
        <v>22.5</v>
      </c>
      <c r="D42" s="639"/>
      <c r="I42" s="629">
        <f>1/T42*100</f>
        <v>39.242451469248458</v>
      </c>
      <c r="J42" s="639">
        <v>0.1</v>
      </c>
      <c r="K42" s="639">
        <v>0.1</v>
      </c>
      <c r="L42" s="568">
        <f>I42*J42</f>
        <v>3.9242451469248461</v>
      </c>
      <c r="M42" s="568">
        <f>I42*K42</f>
        <v>3.9242451469248461</v>
      </c>
      <c r="N42" s="639"/>
      <c r="O42" s="639"/>
      <c r="P42" s="639"/>
      <c r="Q42" s="639"/>
      <c r="T42" s="629">
        <f t="shared" si="19"/>
        <v>2.5482607802512782</v>
      </c>
      <c r="X42" s="629">
        <f t="shared" si="19"/>
        <v>225.43975888354808</v>
      </c>
      <c r="Y42" s="568"/>
      <c r="Z42" s="568"/>
      <c r="AA42" s="568"/>
      <c r="AB42" s="568"/>
      <c r="AD42" s="568">
        <f>(C42/20.3)*$AD$39</f>
        <v>0.79676284306826173</v>
      </c>
      <c r="AF42" s="626">
        <f>T42*AD42</f>
        <v>2.0303595041523552</v>
      </c>
      <c r="AG42" s="625">
        <f>K42/(1-K42)*AF42</f>
        <v>0.22559550046137281</v>
      </c>
      <c r="AH42" s="625">
        <f>AF42*J42/(1-J42)</f>
        <v>0.22559550046137281</v>
      </c>
      <c r="AI42" s="624">
        <f>X42*AD42</f>
        <v>179.62202322867918</v>
      </c>
      <c r="AJ42" s="568">
        <f t="shared" si="17"/>
        <v>19.958002580964354</v>
      </c>
      <c r="AK42" s="568">
        <f t="shared" si="18"/>
        <v>19.958002580964354</v>
      </c>
      <c r="AL42" s="625">
        <f>AF42-AF6</f>
        <v>-0.26080414063173807</v>
      </c>
      <c r="AM42" s="625">
        <f>AI42-AI6</f>
        <v>16.924366036568046</v>
      </c>
    </row>
    <row r="43" spans="1:39">
      <c r="B43" s="675"/>
      <c r="D43" s="639"/>
      <c r="I43" s="629"/>
      <c r="J43" s="639"/>
      <c r="K43" s="639"/>
      <c r="L43" s="568"/>
      <c r="M43" s="568"/>
      <c r="N43" s="639"/>
      <c r="O43" s="639"/>
      <c r="P43" s="639"/>
      <c r="Q43" s="639"/>
      <c r="X43" s="629"/>
      <c r="Y43" s="568"/>
      <c r="Z43" s="568"/>
      <c r="AA43" s="568"/>
      <c r="AB43" s="568"/>
      <c r="AL43" s="625"/>
      <c r="AM43" s="625"/>
    </row>
    <row r="44" spans="1:39">
      <c r="A44" s="543" t="s">
        <v>856</v>
      </c>
      <c r="B44" s="675" t="s">
        <v>993</v>
      </c>
      <c r="C44" s="543">
        <v>20.3</v>
      </c>
      <c r="D44" s="639"/>
      <c r="I44" s="629">
        <f>1/T44*100</f>
        <v>31.389634437929185</v>
      </c>
      <c r="J44" s="639">
        <v>0.1</v>
      </c>
      <c r="K44" s="639">
        <v>0.1</v>
      </c>
      <c r="L44" s="568">
        <f>I44*J44</f>
        <v>3.1389634437929188</v>
      </c>
      <c r="M44" s="568">
        <f>I44*K44</f>
        <v>3.1389634437929188</v>
      </c>
      <c r="N44" s="639"/>
      <c r="O44" s="639"/>
      <c r="P44" s="639"/>
      <c r="Q44" s="639"/>
      <c r="T44" s="629">
        <v>3.1857650396580128</v>
      </c>
      <c r="X44" s="629">
        <v>289.55804511207612</v>
      </c>
      <c r="Y44" s="568"/>
      <c r="Z44" s="568">
        <v>3.169</v>
      </c>
      <c r="AA44" s="568">
        <v>3.0000000000000001E-3</v>
      </c>
      <c r="AB44" s="568">
        <v>0.32900000000000001</v>
      </c>
      <c r="AC44" s="627">
        <f>AC39</f>
        <v>0.2857142857142857</v>
      </c>
      <c r="AD44" s="568">
        <f t="shared" ref="AD44:AD49" si="20">42.5*0.74*8/100*AC44</f>
        <v>0.71885714285714286</v>
      </c>
      <c r="AF44" s="626">
        <f t="shared" ref="AF44:AF49" si="21">T44*AD44</f>
        <v>2.2901099542227317</v>
      </c>
      <c r="AG44" s="625">
        <f t="shared" ref="AG44:AG51" si="22">K44/(1-K44)*AF44</f>
        <v>0.25445666158030356</v>
      </c>
      <c r="AH44" s="625">
        <f t="shared" ref="AH44:AH51" si="23">AF44*J44/(1-J44)</f>
        <v>0.25445666158030356</v>
      </c>
      <c r="AI44" s="624">
        <f t="shared" ref="AI44:AI49" si="24">X44*AD44</f>
        <v>208.15086900056673</v>
      </c>
      <c r="AJ44" s="568">
        <f t="shared" ref="AJ44:AJ51" si="25">K44/(1-K44)*AI44</f>
        <v>23.127874333396306</v>
      </c>
      <c r="AK44" s="568">
        <f t="shared" ref="AK44:AK51" si="26">AI44*J44/(1-J44)</f>
        <v>23.127874333396303</v>
      </c>
      <c r="AL44" s="625">
        <f>AF44-AF3</f>
        <v>-0.92555831915845177</v>
      </c>
      <c r="AM44" s="625">
        <f>AI44-AI3</f>
        <v>-20.196720040992773</v>
      </c>
    </row>
    <row r="45" spans="1:39">
      <c r="A45" s="543" t="s">
        <v>855</v>
      </c>
      <c r="B45" s="675" t="s">
        <v>994</v>
      </c>
      <c r="C45" s="543">
        <v>20.3</v>
      </c>
      <c r="D45" s="639"/>
      <c r="I45" s="629">
        <f>1/T45*100</f>
        <v>24.394731075301333</v>
      </c>
      <c r="J45" s="639">
        <v>0.1</v>
      </c>
      <c r="K45" s="639">
        <v>0.1</v>
      </c>
      <c r="L45" s="568">
        <f>I45*J45</f>
        <v>2.4394731075301337</v>
      </c>
      <c r="M45" s="568">
        <f>I45*K45</f>
        <v>2.4394731075301337</v>
      </c>
      <c r="N45" s="639"/>
      <c r="O45" s="639"/>
      <c r="P45" s="639"/>
      <c r="Q45" s="639"/>
      <c r="T45" s="629">
        <v>4.0992458449868261</v>
      </c>
      <c r="X45" s="629">
        <v>310.65512750318049</v>
      </c>
      <c r="Y45" s="568"/>
      <c r="Z45" s="568">
        <v>0.46700000000000003</v>
      </c>
      <c r="AA45" s="568">
        <v>8.6999999999999994E-2</v>
      </c>
      <c r="AB45" s="568">
        <v>3.5449999999999999</v>
      </c>
      <c r="AC45" s="627">
        <f>AC44</f>
        <v>0.2857142857142857</v>
      </c>
      <c r="AD45" s="568">
        <f t="shared" si="20"/>
        <v>0.71885714285714286</v>
      </c>
      <c r="AF45" s="626">
        <f t="shared" si="21"/>
        <v>2.9467721559962441</v>
      </c>
      <c r="AG45" s="625">
        <f t="shared" si="22"/>
        <v>0.32741912844402715</v>
      </c>
      <c r="AH45" s="625">
        <f t="shared" si="23"/>
        <v>0.3274191284440271</v>
      </c>
      <c r="AI45" s="624">
        <f t="shared" si="24"/>
        <v>223.31665737085774</v>
      </c>
      <c r="AJ45" s="568">
        <f t="shared" si="25"/>
        <v>24.812961930095305</v>
      </c>
      <c r="AK45" s="568">
        <f t="shared" si="26"/>
        <v>24.812961930095305</v>
      </c>
      <c r="AL45" s="625">
        <f>AF45-AF3</f>
        <v>-0.26889611738493935</v>
      </c>
      <c r="AM45" s="625">
        <f>AI45-AI3</f>
        <v>-5.0309316707017615</v>
      </c>
    </row>
    <row r="46" spans="1:39">
      <c r="A46" s="543" t="s">
        <v>854</v>
      </c>
      <c r="B46" s="675" t="s">
        <v>995</v>
      </c>
      <c r="C46" s="543">
        <v>20.3</v>
      </c>
      <c r="D46" s="639"/>
      <c r="I46" s="629">
        <f>1/T46*100</f>
        <v>38.064967337279441</v>
      </c>
      <c r="J46" s="639">
        <v>0.1</v>
      </c>
      <c r="K46" s="639">
        <v>0.1</v>
      </c>
      <c r="L46" s="568">
        <f>I46*J46</f>
        <v>3.8064967337279443</v>
      </c>
      <c r="M46" s="568">
        <f>I46*K46</f>
        <v>3.8064967337279443</v>
      </c>
      <c r="N46" s="639"/>
      <c r="O46" s="639"/>
      <c r="P46" s="639"/>
      <c r="Q46" s="639"/>
      <c r="T46" s="629">
        <v>2.6270875031610403</v>
      </c>
      <c r="X46" s="629">
        <v>156.45396759602423</v>
      </c>
      <c r="Y46" s="568"/>
      <c r="Z46" s="568">
        <v>0.26</v>
      </c>
      <c r="AA46" s="568">
        <v>2.48</v>
      </c>
      <c r="AB46" s="568">
        <v>0.11</v>
      </c>
      <c r="AC46" s="627">
        <f>AC45</f>
        <v>0.2857142857142857</v>
      </c>
      <c r="AD46" s="568">
        <f t="shared" si="20"/>
        <v>0.71885714285714286</v>
      </c>
      <c r="AF46" s="626">
        <f t="shared" si="21"/>
        <v>1.8885006165580507</v>
      </c>
      <c r="AG46" s="625">
        <f t="shared" si="22"/>
        <v>0.20983340183978341</v>
      </c>
      <c r="AH46" s="625">
        <f t="shared" si="23"/>
        <v>0.20983340183978344</v>
      </c>
      <c r="AI46" s="624">
        <f t="shared" si="24"/>
        <v>112.46805213474198</v>
      </c>
      <c r="AJ46" s="568">
        <f t="shared" si="25"/>
        <v>12.496450237193555</v>
      </c>
      <c r="AK46" s="568">
        <f t="shared" si="26"/>
        <v>12.496450237193553</v>
      </c>
      <c r="AL46" s="625">
        <f>AF46-AF3</f>
        <v>-1.3271676568231328</v>
      </c>
      <c r="AM46" s="625">
        <f>AI46-AI3</f>
        <v>-115.87953690681752</v>
      </c>
    </row>
    <row r="47" spans="1:39">
      <c r="A47" s="543" t="s">
        <v>853</v>
      </c>
      <c r="B47" s="675" t="s">
        <v>996</v>
      </c>
      <c r="C47" s="543">
        <v>20.3</v>
      </c>
      <c r="D47" s="568"/>
      <c r="I47" s="629">
        <f>Y47</f>
        <v>15.873015873015873</v>
      </c>
      <c r="J47" s="639">
        <v>0.1</v>
      </c>
      <c r="K47" s="639">
        <v>0.1</v>
      </c>
      <c r="L47" s="568">
        <f>I47*J47</f>
        <v>1.5873015873015874</v>
      </c>
      <c r="M47" s="568">
        <f>I47*K47</f>
        <v>1.5873015873015874</v>
      </c>
      <c r="T47" s="629">
        <v>6.3E-2</v>
      </c>
      <c r="X47" s="629">
        <v>6.5</v>
      </c>
      <c r="Y47" s="568">
        <f>1/T47</f>
        <v>15.873015873015873</v>
      </c>
      <c r="Z47" s="568">
        <v>5.1999999999999998E-2</v>
      </c>
      <c r="AA47" s="568">
        <v>5.0000000000000001E-3</v>
      </c>
      <c r="AB47" s="568">
        <v>6.0000000000000001E-3</v>
      </c>
      <c r="AC47" s="627">
        <f>AC46</f>
        <v>0.2857142857142857</v>
      </c>
      <c r="AD47" s="568">
        <f t="shared" si="20"/>
        <v>0.71885714285714286</v>
      </c>
      <c r="AF47" s="626">
        <f t="shared" si="21"/>
        <v>4.5288000000000002E-2</v>
      </c>
      <c r="AG47" s="625">
        <f t="shared" si="22"/>
        <v>5.0320000000000009E-3</v>
      </c>
      <c r="AH47" s="625">
        <f t="shared" si="23"/>
        <v>5.032E-3</v>
      </c>
      <c r="AI47" s="624">
        <f t="shared" si="24"/>
        <v>4.6725714285714286</v>
      </c>
      <c r="AJ47" s="568">
        <f t="shared" si="25"/>
        <v>0.51917460317460318</v>
      </c>
      <c r="AK47" s="568">
        <f t="shared" si="26"/>
        <v>0.51917460317460318</v>
      </c>
      <c r="AL47" s="625">
        <f>AF47-AF3</f>
        <v>-3.1703802733811832</v>
      </c>
      <c r="AM47" s="625">
        <f>AI47-AI3</f>
        <v>-223.67501761298809</v>
      </c>
    </row>
    <row r="48" spans="1:39">
      <c r="A48" s="543" t="s">
        <v>852</v>
      </c>
      <c r="B48" s="675" t="s">
        <v>997</v>
      </c>
      <c r="C48" s="543">
        <v>20.3</v>
      </c>
      <c r="I48" s="628" t="s">
        <v>11</v>
      </c>
      <c r="T48" s="629">
        <v>0</v>
      </c>
      <c r="X48" s="629">
        <v>5</v>
      </c>
      <c r="Z48" s="568">
        <v>0</v>
      </c>
      <c r="AA48" s="568">
        <v>0</v>
      </c>
      <c r="AB48" s="568">
        <v>0</v>
      </c>
      <c r="AC48" s="627">
        <f>AC47</f>
        <v>0.2857142857142857</v>
      </c>
      <c r="AD48" s="568">
        <f t="shared" si="20"/>
        <v>0.71885714285714286</v>
      </c>
      <c r="AF48" s="626">
        <f t="shared" si="21"/>
        <v>0</v>
      </c>
      <c r="AG48" s="625">
        <f t="shared" si="22"/>
        <v>0</v>
      </c>
      <c r="AH48" s="625">
        <f t="shared" si="23"/>
        <v>0</v>
      </c>
      <c r="AI48" s="624">
        <f t="shared" si="24"/>
        <v>3.5942857142857143</v>
      </c>
      <c r="AJ48" s="568">
        <f t="shared" si="25"/>
        <v>0</v>
      </c>
      <c r="AK48" s="568">
        <f t="shared" si="26"/>
        <v>0</v>
      </c>
      <c r="AL48" s="625">
        <f>AF48-AF3</f>
        <v>-3.2156682733811834</v>
      </c>
      <c r="AM48" s="625">
        <f>AI48-AI3</f>
        <v>-224.75330332727378</v>
      </c>
    </row>
    <row r="49" spans="1:41">
      <c r="A49" s="543" t="s">
        <v>851</v>
      </c>
      <c r="B49" s="675" t="s">
        <v>998</v>
      </c>
      <c r="C49" s="543">
        <v>20.3</v>
      </c>
      <c r="D49" s="568"/>
      <c r="I49" s="629">
        <f>Y49</f>
        <v>13.157894736842106</v>
      </c>
      <c r="J49" s="639">
        <v>0.1</v>
      </c>
      <c r="K49" s="639">
        <v>0.1</v>
      </c>
      <c r="L49" s="568">
        <f>I49*J49</f>
        <v>1.3157894736842106</v>
      </c>
      <c r="M49" s="568">
        <f>I49*K49</f>
        <v>1.3157894736842106</v>
      </c>
      <c r="T49" s="629">
        <v>7.5999999999999998E-2</v>
      </c>
      <c r="X49" s="629">
        <v>5.8</v>
      </c>
      <c r="Y49" s="568">
        <f>1/T49</f>
        <v>13.157894736842106</v>
      </c>
      <c r="Z49" s="568">
        <v>0.01</v>
      </c>
      <c r="AA49" s="568">
        <v>2E-3</v>
      </c>
      <c r="AB49" s="568">
        <v>6.4000000000000001E-2</v>
      </c>
      <c r="AC49" s="627">
        <f>AC48</f>
        <v>0.2857142857142857</v>
      </c>
      <c r="AD49" s="568">
        <f t="shared" si="20"/>
        <v>0.71885714285714286</v>
      </c>
      <c r="AF49" s="626">
        <f t="shared" si="21"/>
        <v>5.4633142857142859E-2</v>
      </c>
      <c r="AG49" s="625">
        <f t="shared" si="22"/>
        <v>6.0703492063492069E-3</v>
      </c>
      <c r="AH49" s="625">
        <f t="shared" si="23"/>
        <v>6.070349206349206E-3</v>
      </c>
      <c r="AI49" s="624">
        <f t="shared" si="24"/>
        <v>4.1693714285714281</v>
      </c>
      <c r="AJ49" s="568">
        <f t="shared" si="25"/>
        <v>0.46326349206349204</v>
      </c>
      <c r="AK49" s="568">
        <f t="shared" si="26"/>
        <v>0.46326349206349204</v>
      </c>
      <c r="AL49" s="625">
        <f>AF49-AF3</f>
        <v>-3.1610351305240405</v>
      </c>
      <c r="AM49" s="625">
        <f>AI49-AI3</f>
        <v>-224.17821761298808</v>
      </c>
    </row>
    <row r="50" spans="1:41">
      <c r="B50" s="675"/>
      <c r="I50" s="629"/>
      <c r="Z50" s="568"/>
      <c r="AA50" s="568"/>
      <c r="AB50" s="568"/>
      <c r="AE50" s="568"/>
      <c r="AG50" s="625">
        <f t="shared" si="22"/>
        <v>0</v>
      </c>
      <c r="AH50" s="625">
        <f t="shared" si="23"/>
        <v>0</v>
      </c>
      <c r="AJ50" s="568">
        <f t="shared" si="25"/>
        <v>0</v>
      </c>
      <c r="AK50" s="568">
        <f t="shared" si="26"/>
        <v>0</v>
      </c>
    </row>
    <row r="51" spans="1:41">
      <c r="A51" s="543" t="s">
        <v>850</v>
      </c>
      <c r="B51" s="675" t="s">
        <v>1000</v>
      </c>
      <c r="D51" s="568"/>
      <c r="E51" s="676" t="s">
        <v>849</v>
      </c>
      <c r="F51" s="648" t="s">
        <v>848</v>
      </c>
      <c r="G51" s="652">
        <v>0.37</v>
      </c>
      <c r="H51" s="648" t="s">
        <v>847</v>
      </c>
      <c r="I51" s="629">
        <v>28.031052739412171</v>
      </c>
      <c r="J51" s="639">
        <v>0.15</v>
      </c>
      <c r="K51" s="639">
        <v>0.15</v>
      </c>
      <c r="L51" s="568">
        <f>I51*J51</f>
        <v>4.2046579109118252</v>
      </c>
      <c r="M51" s="568">
        <f>I51*K51</f>
        <v>4.2046579109118252</v>
      </c>
      <c r="N51" s="639"/>
      <c r="O51" s="639"/>
      <c r="P51" s="639"/>
      <c r="Q51" s="639"/>
      <c r="R51" s="628">
        <v>94.107203795770047</v>
      </c>
      <c r="T51" s="629">
        <f>1/I51*100</f>
        <v>3.5674721506052527</v>
      </c>
      <c r="X51" s="628">
        <f>R51</f>
        <v>94.107203795770047</v>
      </c>
      <c r="Z51" s="568">
        <v>3.05</v>
      </c>
      <c r="AA51" s="568">
        <v>0</v>
      </c>
      <c r="AB51" s="568">
        <v>0.32</v>
      </c>
      <c r="AC51" s="627">
        <f>AC39</f>
        <v>0.2857142857142857</v>
      </c>
      <c r="AD51" s="568">
        <f>42.5*0.74*8/100*AC51</f>
        <v>0.71885714285714286</v>
      </c>
      <c r="AE51" s="568"/>
      <c r="AF51" s="626">
        <f>T51*AD51</f>
        <v>2.5645028374065189</v>
      </c>
      <c r="AG51" s="625">
        <f t="shared" si="22"/>
        <v>0.45255932424820922</v>
      </c>
      <c r="AH51" s="625">
        <f t="shared" si="23"/>
        <v>0.45255932424820922</v>
      </c>
      <c r="AI51" s="624">
        <f>X51*AD51</f>
        <v>67.649635642902126</v>
      </c>
      <c r="AJ51" s="568">
        <f t="shared" si="25"/>
        <v>11.938170995806258</v>
      </c>
      <c r="AK51" s="568">
        <f t="shared" si="26"/>
        <v>11.938170995806258</v>
      </c>
      <c r="AL51" s="625">
        <f>AF51-AF3</f>
        <v>-0.65116543597466459</v>
      </c>
      <c r="AM51" s="625">
        <f>AI51-AI3</f>
        <v>-160.69795339865738</v>
      </c>
    </row>
    <row r="52" spans="1:41">
      <c r="B52" s="675"/>
      <c r="D52" s="568"/>
      <c r="E52" s="676"/>
      <c r="G52" s="652"/>
      <c r="I52" s="629"/>
      <c r="J52" s="639"/>
      <c r="K52" s="639"/>
      <c r="L52" s="568"/>
      <c r="M52" s="568"/>
      <c r="N52" s="639"/>
      <c r="O52" s="639"/>
      <c r="P52" s="639"/>
      <c r="Q52" s="639"/>
      <c r="Z52" s="568"/>
      <c r="AA52" s="568"/>
      <c r="AB52" s="568"/>
      <c r="AE52" s="568"/>
      <c r="AL52" s="625"/>
      <c r="AM52" s="625"/>
    </row>
    <row r="53" spans="1:41">
      <c r="A53" s="543" t="s">
        <v>846</v>
      </c>
      <c r="B53" s="675" t="s">
        <v>1001</v>
      </c>
      <c r="D53" s="568" t="s">
        <v>845</v>
      </c>
      <c r="E53" s="676"/>
      <c r="G53" s="652"/>
      <c r="I53" s="641"/>
      <c r="J53" s="639"/>
      <c r="K53" s="639"/>
      <c r="L53" s="568"/>
      <c r="M53" s="568"/>
      <c r="N53" s="639"/>
      <c r="O53" s="639"/>
      <c r="P53" s="639"/>
      <c r="Q53" s="639"/>
      <c r="T53" s="629">
        <f>0.95*T44+0.04*T48+0.01*0</f>
        <v>3.026476787675112</v>
      </c>
      <c r="X53" s="629">
        <f>0.95*X44+0.04*X48+0.01*0</f>
        <v>275.28014285647231</v>
      </c>
      <c r="Z53" s="568"/>
      <c r="AA53" s="568"/>
      <c r="AB53" s="568"/>
      <c r="AC53" s="627">
        <f>AC51</f>
        <v>0.2857142857142857</v>
      </c>
      <c r="AD53" s="568">
        <f t="shared" ref="AD53:AD58" si="27">42.5*0.74*8/100*AC53</f>
        <v>0.71885714285714286</v>
      </c>
      <c r="AE53" s="568"/>
      <c r="AF53" s="626">
        <f t="shared" ref="AF53:AF58" si="28">T53*AD53</f>
        <v>2.1756044565115946</v>
      </c>
      <c r="AI53" s="624">
        <f t="shared" ref="AI53:AI58" si="29">X53*AD53</f>
        <v>197.8870969791098</v>
      </c>
      <c r="AL53" s="625"/>
      <c r="AM53" s="625"/>
    </row>
    <row r="54" spans="1:41">
      <c r="A54" s="543" t="s">
        <v>844</v>
      </c>
      <c r="B54" s="675" t="s">
        <v>1002</v>
      </c>
      <c r="D54" s="568" t="s">
        <v>843</v>
      </c>
      <c r="E54" s="676"/>
      <c r="G54" s="652"/>
      <c r="I54" s="629"/>
      <c r="J54" s="639"/>
      <c r="K54" s="639"/>
      <c r="L54" s="568"/>
      <c r="M54" s="568"/>
      <c r="N54" s="639"/>
      <c r="O54" s="639"/>
      <c r="P54" s="639"/>
      <c r="Q54" s="639"/>
      <c r="T54" s="629">
        <f>0.98*T44+0.01*T48+0.01*0</f>
        <v>3.1220497388648525</v>
      </c>
      <c r="X54" s="629">
        <f>0.98*X44+0.01*X48+0.01*0</f>
        <v>283.8168842098346</v>
      </c>
      <c r="Z54" s="568"/>
      <c r="AA54" s="568"/>
      <c r="AB54" s="568"/>
      <c r="AC54" s="627">
        <f>AC53</f>
        <v>0.2857142857142857</v>
      </c>
      <c r="AD54" s="568">
        <f t="shared" si="27"/>
        <v>0.71885714285714286</v>
      </c>
      <c r="AE54" s="568"/>
      <c r="AF54" s="626">
        <f t="shared" si="28"/>
        <v>2.2443077551382768</v>
      </c>
      <c r="AI54" s="624">
        <f t="shared" si="29"/>
        <v>204.02379447769823</v>
      </c>
      <c r="AL54" s="625"/>
      <c r="AM54" s="625"/>
    </row>
    <row r="55" spans="1:41">
      <c r="A55" s="543" t="s">
        <v>842</v>
      </c>
      <c r="B55" s="675" t="s">
        <v>1003</v>
      </c>
      <c r="D55" s="568" t="s">
        <v>841</v>
      </c>
      <c r="E55" s="676"/>
      <c r="G55" s="652"/>
      <c r="I55" s="629"/>
      <c r="J55" s="639"/>
      <c r="K55" s="639"/>
      <c r="L55" s="568"/>
      <c r="M55" s="568"/>
      <c r="N55" s="639"/>
      <c r="O55" s="639"/>
      <c r="P55" s="639"/>
      <c r="Q55" s="639"/>
      <c r="T55" s="629">
        <f>0.77*T44+0.22*T48+0.01*0</f>
        <v>2.4530390805366697</v>
      </c>
      <c r="X55" s="629">
        <f>0.77*X44+0.22*X48+0.01*0</f>
        <v>224.05969473629861</v>
      </c>
      <c r="Z55" s="568"/>
      <c r="AA55" s="568"/>
      <c r="AB55" s="568"/>
      <c r="AC55" s="627">
        <f>AC54</f>
        <v>0.2857142857142857</v>
      </c>
      <c r="AD55" s="568">
        <f t="shared" si="27"/>
        <v>0.71885714285714286</v>
      </c>
      <c r="AE55" s="568"/>
      <c r="AF55" s="626">
        <f t="shared" si="28"/>
        <v>1.7633846647515032</v>
      </c>
      <c r="AI55" s="624">
        <f t="shared" si="29"/>
        <v>161.06691198757923</v>
      </c>
      <c r="AL55" s="625"/>
      <c r="AM55" s="625"/>
    </row>
    <row r="56" spans="1:41">
      <c r="A56" s="543" t="s">
        <v>840</v>
      </c>
      <c r="B56" s="675" t="s">
        <v>1004</v>
      </c>
      <c r="D56" s="568" t="s">
        <v>839</v>
      </c>
      <c r="E56" s="676"/>
      <c r="G56" s="652"/>
      <c r="I56" s="629"/>
      <c r="J56" s="639"/>
      <c r="K56" s="639"/>
      <c r="L56" s="568"/>
      <c r="M56" s="568"/>
      <c r="N56" s="639"/>
      <c r="O56" s="639"/>
      <c r="P56" s="639"/>
      <c r="Q56" s="639"/>
      <c r="T56" s="629">
        <f>0.74*T44+0.26*T48</f>
        <v>2.3574661293469297</v>
      </c>
      <c r="X56" s="629">
        <f>0.74*X44+0.26*X48</f>
        <v>215.57295338293633</v>
      </c>
      <c r="Z56" s="568"/>
      <c r="AA56" s="568"/>
      <c r="AB56" s="568"/>
      <c r="AC56" s="627">
        <f>AC55</f>
        <v>0.2857142857142857</v>
      </c>
      <c r="AD56" s="568">
        <f t="shared" si="27"/>
        <v>0.71885714285714286</v>
      </c>
      <c r="AE56" s="568"/>
      <c r="AF56" s="626">
        <f t="shared" si="28"/>
        <v>1.6946813661248215</v>
      </c>
      <c r="AI56" s="624">
        <f t="shared" si="29"/>
        <v>154.96615734613366</v>
      </c>
      <c r="AL56" s="625"/>
      <c r="AM56" s="625"/>
    </row>
    <row r="57" spans="1:41">
      <c r="A57" s="543" t="s">
        <v>838</v>
      </c>
      <c r="B57" s="675" t="s">
        <v>1005</v>
      </c>
      <c r="D57" s="568" t="s">
        <v>837</v>
      </c>
      <c r="E57" s="676"/>
      <c r="G57" s="652"/>
      <c r="I57" s="629"/>
      <c r="J57" s="639"/>
      <c r="K57" s="639"/>
      <c r="L57" s="568"/>
      <c r="M57" s="568"/>
      <c r="N57" s="639"/>
      <c r="O57" s="639"/>
      <c r="P57" s="639"/>
      <c r="Q57" s="639"/>
      <c r="T57" s="629">
        <f>0.88*T44+0.07*T48+0.05*T47</f>
        <v>2.8066232348990514</v>
      </c>
      <c r="X57" s="629">
        <f>0.88*X44+0.07*X48+0.05*X47</f>
        <v>255.48607969862695</v>
      </c>
      <c r="Z57" s="568"/>
      <c r="AA57" s="568"/>
      <c r="AB57" s="568"/>
      <c r="AC57" s="627">
        <f>AC56</f>
        <v>0.2857142857142857</v>
      </c>
      <c r="AD57" s="568">
        <f t="shared" si="27"/>
        <v>0.71885714285714286</v>
      </c>
      <c r="AE57" s="568"/>
      <c r="AF57" s="626">
        <f t="shared" si="28"/>
        <v>2.0175611597160037</v>
      </c>
      <c r="AI57" s="624">
        <f t="shared" si="29"/>
        <v>183.65799329192726</v>
      </c>
      <c r="AL57" s="625"/>
      <c r="AM57" s="625"/>
    </row>
    <row r="58" spans="1:41">
      <c r="A58" s="543" t="s">
        <v>836</v>
      </c>
      <c r="B58" s="675" t="s">
        <v>1006</v>
      </c>
      <c r="D58" s="568" t="s">
        <v>835</v>
      </c>
      <c r="E58" s="676"/>
      <c r="G58" s="652"/>
      <c r="I58" s="629"/>
      <c r="J58" s="639"/>
      <c r="K58" s="639"/>
      <c r="L58" s="568"/>
      <c r="M58" s="568"/>
      <c r="N58" s="639"/>
      <c r="O58" s="639"/>
      <c r="P58" s="639"/>
      <c r="Q58" s="639"/>
      <c r="T58" s="629">
        <f>0.65*T44+0.3*T48+0.05*T47</f>
        <v>2.0738972757777088</v>
      </c>
      <c r="X58" s="629">
        <f>0.65*X44+0.3*X48+0.05*X47</f>
        <v>190.03772932284946</v>
      </c>
      <c r="Z58" s="568"/>
      <c r="AA58" s="568"/>
      <c r="AB58" s="568"/>
      <c r="AC58" s="627">
        <f>AC57</f>
        <v>0.2857142857142857</v>
      </c>
      <c r="AD58" s="568">
        <f t="shared" si="27"/>
        <v>0.71885714285714286</v>
      </c>
      <c r="AE58" s="568"/>
      <c r="AF58" s="626">
        <f t="shared" si="28"/>
        <v>1.4908358702447757</v>
      </c>
      <c r="AI58" s="624">
        <f t="shared" si="29"/>
        <v>136.60997913608264</v>
      </c>
      <c r="AL58" s="625"/>
      <c r="AM58" s="625"/>
    </row>
    <row r="59" spans="1:41">
      <c r="B59" s="675"/>
      <c r="I59" s="628" t="s">
        <v>834</v>
      </c>
      <c r="Z59" s="565" t="s">
        <v>833</v>
      </c>
      <c r="AA59" s="565" t="s">
        <v>832</v>
      </c>
      <c r="AB59" s="565" t="s">
        <v>831</v>
      </c>
      <c r="AG59" s="625">
        <f t="shared" ref="AG59:AG72" si="30">K59/(1-K59)*AF59</f>
        <v>0</v>
      </c>
      <c r="AH59" s="625">
        <f t="shared" ref="AH59:AH72" si="31">AF59*J59/(1-J59)</f>
        <v>0</v>
      </c>
      <c r="AJ59" s="568">
        <f t="shared" ref="AJ59:AJ72" si="32">K59/(1-K59)*AI59</f>
        <v>0</v>
      </c>
      <c r="AK59" s="568">
        <f t="shared" ref="AK59:AK72" si="33">AI59*J59/(1-J59)</f>
        <v>0</v>
      </c>
    </row>
    <row r="60" spans="1:41" s="630" customFormat="1">
      <c r="A60" s="630" t="s">
        <v>829</v>
      </c>
      <c r="D60" s="631"/>
      <c r="E60" s="648" t="s">
        <v>830</v>
      </c>
      <c r="F60" s="648"/>
      <c r="G60" s="648"/>
      <c r="H60" s="648"/>
      <c r="I60" s="635">
        <f t="shared" ref="I60:I65" si="34">1/T60</f>
        <v>0.53246180466874282</v>
      </c>
      <c r="J60" s="637">
        <v>0.1</v>
      </c>
      <c r="K60" s="637">
        <v>0.1</v>
      </c>
      <c r="L60" s="631">
        <f t="shared" ref="L60:L65" si="35">I60*J60</f>
        <v>5.3246180466874286E-2</v>
      </c>
      <c r="M60" s="631">
        <f t="shared" ref="M60:M65" si="36">I60*K60</f>
        <v>5.3246180466874286E-2</v>
      </c>
      <c r="N60" s="637">
        <f>I60</f>
        <v>0.53246180466874282</v>
      </c>
      <c r="O60" s="637"/>
      <c r="P60" s="637"/>
      <c r="Q60" s="637"/>
      <c r="R60" s="636"/>
      <c r="S60" s="636"/>
      <c r="T60" s="635">
        <v>1.8780689830364901</v>
      </c>
      <c r="U60" s="635"/>
      <c r="V60" s="635"/>
      <c r="W60" s="635"/>
      <c r="X60" s="635">
        <v>127.17105074252038</v>
      </c>
      <c r="Z60" s="634">
        <v>0.32777935620002785</v>
      </c>
      <c r="AA60" s="634">
        <v>0.11896737517669516</v>
      </c>
      <c r="AB60" s="634">
        <v>1.4313222516597719</v>
      </c>
      <c r="AC60" s="633">
        <f>PTW!D26</f>
        <v>0.43478261770958732</v>
      </c>
      <c r="AD60" s="631">
        <f t="shared" ref="AD60:AD65" si="37">42.5*0.74*8/100*AC60</f>
        <v>1.0939130661573218</v>
      </c>
      <c r="AF60" s="632">
        <f t="shared" ref="AF60:AF65" si="38">T60*AD60</f>
        <v>2.05444419968841</v>
      </c>
      <c r="AG60" s="632">
        <f t="shared" si="30"/>
        <v>0.22827157774315668</v>
      </c>
      <c r="AH60" s="632">
        <f t="shared" si="31"/>
        <v>0.22827157774315665</v>
      </c>
      <c r="AI60" s="631">
        <f t="shared" ref="AI60:AI65" si="39">X60*AD60</f>
        <v>139.11407404419882</v>
      </c>
      <c r="AJ60" s="631">
        <f t="shared" si="32"/>
        <v>15.457119338244313</v>
      </c>
      <c r="AK60" s="631">
        <f t="shared" si="33"/>
        <v>15.457119338244315</v>
      </c>
      <c r="AN60" s="632">
        <f>AF60-AF9</f>
        <v>-0.84831917211642116</v>
      </c>
      <c r="AO60" s="632">
        <f>AI60-AI9</f>
        <v>-73.310353933878673</v>
      </c>
    </row>
    <row r="61" spans="1:41" s="630" customFormat="1">
      <c r="A61" s="638" t="s">
        <v>827</v>
      </c>
      <c r="B61" s="638"/>
      <c r="C61" s="638"/>
      <c r="D61" s="631"/>
      <c r="E61" s="648"/>
      <c r="F61" s="648"/>
      <c r="G61" s="648"/>
      <c r="H61" s="648"/>
      <c r="I61" s="635">
        <f t="shared" si="34"/>
        <v>0.39704820534628349</v>
      </c>
      <c r="J61" s="637">
        <v>0.1</v>
      </c>
      <c r="K61" s="637">
        <v>0.1</v>
      </c>
      <c r="L61" s="631">
        <f t="shared" si="35"/>
        <v>3.970482053462835E-2</v>
      </c>
      <c r="M61" s="631">
        <f t="shared" si="36"/>
        <v>3.970482053462835E-2</v>
      </c>
      <c r="N61" s="637">
        <f>I61</f>
        <v>0.39704820534628349</v>
      </c>
      <c r="O61" s="637"/>
      <c r="P61" s="637"/>
      <c r="Q61" s="637"/>
      <c r="R61" s="636"/>
      <c r="S61" s="636"/>
      <c r="T61" s="635">
        <v>2.518585870770667</v>
      </c>
      <c r="U61" s="635"/>
      <c r="V61" s="635"/>
      <c r="W61" s="635"/>
      <c r="X61" s="635">
        <v>227.64705238343379</v>
      </c>
      <c r="Z61" s="634">
        <v>2.2738890239150558</v>
      </c>
      <c r="AA61" s="634">
        <v>0.24101031241175599</v>
      </c>
      <c r="AB61" s="634">
        <v>3.6865344438549046E-3</v>
      </c>
      <c r="AC61" s="633">
        <f>AC60</f>
        <v>0.43478261770958732</v>
      </c>
      <c r="AD61" s="631">
        <f t="shared" si="37"/>
        <v>1.0939130661573218</v>
      </c>
      <c r="AF61" s="632">
        <f t="shared" si="38"/>
        <v>2.7551139922752483</v>
      </c>
      <c r="AG61" s="632">
        <f t="shared" si="30"/>
        <v>0.30612377691947207</v>
      </c>
      <c r="AH61" s="632">
        <f t="shared" si="31"/>
        <v>0.30612377691947201</v>
      </c>
      <c r="AI61" s="631">
        <f t="shared" si="39"/>
        <v>249.0260850744385</v>
      </c>
      <c r="AJ61" s="631">
        <f t="shared" si="32"/>
        <v>27.669565008270947</v>
      </c>
      <c r="AK61" s="631">
        <f t="shared" si="33"/>
        <v>27.669565008270943</v>
      </c>
      <c r="AN61" s="632">
        <f>AF61-AF9</f>
        <v>-0.14764937952958279</v>
      </c>
      <c r="AO61" s="632">
        <f>AI61-AI9</f>
        <v>36.601657096361009</v>
      </c>
    </row>
    <row r="62" spans="1:41" s="630" customFormat="1">
      <c r="A62" s="638" t="s">
        <v>826</v>
      </c>
      <c r="B62" s="638"/>
      <c r="C62" s="638"/>
      <c r="D62" s="631"/>
      <c r="E62" s="648"/>
      <c r="F62" s="648"/>
      <c r="G62" s="648"/>
      <c r="H62" s="648"/>
      <c r="I62" s="635">
        <f t="shared" si="34"/>
        <v>0.25663348046043344</v>
      </c>
      <c r="J62" s="637">
        <v>0.1</v>
      </c>
      <c r="K62" s="637">
        <v>0.1</v>
      </c>
      <c r="L62" s="631">
        <f t="shared" si="35"/>
        <v>2.5663348046043345E-2</v>
      </c>
      <c r="M62" s="631">
        <f t="shared" si="36"/>
        <v>2.5663348046043345E-2</v>
      </c>
      <c r="N62" s="637">
        <f>I62</f>
        <v>0.25663348046043344</v>
      </c>
      <c r="O62" s="637"/>
      <c r="P62" s="637"/>
      <c r="Q62" s="637"/>
      <c r="R62" s="636"/>
      <c r="S62" s="636"/>
      <c r="T62" s="635">
        <v>3.8966077154308612</v>
      </c>
      <c r="U62" s="635"/>
      <c r="V62" s="635"/>
      <c r="W62" s="635"/>
      <c r="X62" s="635">
        <v>396.85943102421049</v>
      </c>
      <c r="Z62" s="634">
        <v>3.4286948491577744</v>
      </c>
      <c r="AA62" s="634">
        <v>0.43991807940204725</v>
      </c>
      <c r="AB62" s="634">
        <v>2.7994786871039373E-2</v>
      </c>
      <c r="AC62" s="633">
        <f>AC61</f>
        <v>0.43478261770958732</v>
      </c>
      <c r="AD62" s="631">
        <f t="shared" si="37"/>
        <v>1.0939130661573218</v>
      </c>
      <c r="AF62" s="632">
        <f t="shared" si="38"/>
        <v>4.2625500935992502</v>
      </c>
      <c r="AG62" s="632">
        <f t="shared" si="30"/>
        <v>0.47361667706658339</v>
      </c>
      <c r="AH62" s="632">
        <f t="shared" si="31"/>
        <v>0.47361667706658339</v>
      </c>
      <c r="AI62" s="631">
        <f t="shared" si="39"/>
        <v>434.12971702514426</v>
      </c>
      <c r="AJ62" s="631">
        <f t="shared" si="32"/>
        <v>48.23663522501603</v>
      </c>
      <c r="AK62" s="631">
        <f t="shared" si="33"/>
        <v>48.23663522501603</v>
      </c>
      <c r="AN62" s="632">
        <f>AF62-AF9</f>
        <v>1.3597867217944191</v>
      </c>
      <c r="AO62" s="632">
        <f>AI62-AI9</f>
        <v>221.70528904706677</v>
      </c>
    </row>
    <row r="63" spans="1:41" s="630" customFormat="1">
      <c r="A63" s="638" t="s">
        <v>825</v>
      </c>
      <c r="B63" s="638"/>
      <c r="C63" s="638"/>
      <c r="D63" s="631"/>
      <c r="E63" s="648"/>
      <c r="F63" s="648"/>
      <c r="G63" s="648"/>
      <c r="H63" s="648"/>
      <c r="I63" s="635">
        <f t="shared" si="34"/>
        <v>3.3681129178042535</v>
      </c>
      <c r="J63" s="637">
        <v>0.1</v>
      </c>
      <c r="K63" s="637">
        <v>0.1</v>
      </c>
      <c r="L63" s="631">
        <f t="shared" si="35"/>
        <v>0.33681129178042535</v>
      </c>
      <c r="M63" s="631">
        <f t="shared" si="36"/>
        <v>0.33681129178042535</v>
      </c>
      <c r="N63" s="637"/>
      <c r="O63" s="637"/>
      <c r="P63" s="637"/>
      <c r="Q63" s="637"/>
      <c r="R63" s="636"/>
      <c r="S63" s="636"/>
      <c r="T63" s="635">
        <v>0.29690215987530544</v>
      </c>
      <c r="U63" s="635"/>
      <c r="V63" s="635"/>
      <c r="W63" s="635"/>
      <c r="X63" s="635">
        <v>28.891586579766056</v>
      </c>
      <c r="Z63" s="634">
        <v>0.22080596026888544</v>
      </c>
      <c r="AA63" s="634">
        <v>7.2929190513158368E-2</v>
      </c>
      <c r="AB63" s="634">
        <v>3.167009093261593E-3</v>
      </c>
      <c r="AC63" s="633">
        <f>AC62</f>
        <v>0.43478261770958732</v>
      </c>
      <c r="AD63" s="631">
        <f t="shared" si="37"/>
        <v>1.0939130661573218</v>
      </c>
      <c r="AF63" s="632">
        <f t="shared" si="38"/>
        <v>0.32478515205792674</v>
      </c>
      <c r="AG63" s="632">
        <f t="shared" si="30"/>
        <v>3.6087239117547416E-2</v>
      </c>
      <c r="AH63" s="632">
        <f t="shared" si="31"/>
        <v>3.6087239117547416E-2</v>
      </c>
      <c r="AI63" s="631">
        <f t="shared" si="39"/>
        <v>31.604884061621615</v>
      </c>
      <c r="AJ63" s="631">
        <f t="shared" si="32"/>
        <v>3.5116537846246243</v>
      </c>
      <c r="AK63" s="631">
        <f t="shared" si="33"/>
        <v>3.5116537846246239</v>
      </c>
      <c r="AN63" s="632">
        <f>AF63-AF9</f>
        <v>-2.5779782197469046</v>
      </c>
      <c r="AO63" s="632">
        <f>AI63-AI9</f>
        <v>-180.81954391645587</v>
      </c>
    </row>
    <row r="64" spans="1:41" s="630" customFormat="1">
      <c r="A64" s="638" t="s">
        <v>824</v>
      </c>
      <c r="B64" s="638"/>
      <c r="C64" s="638"/>
      <c r="D64" s="631"/>
      <c r="E64" s="648"/>
      <c r="F64" s="648"/>
      <c r="G64" s="648"/>
      <c r="H64" s="648"/>
      <c r="I64" s="635">
        <f t="shared" si="34"/>
        <v>3.5342105008998197</v>
      </c>
      <c r="J64" s="637">
        <v>0.1</v>
      </c>
      <c r="K64" s="637">
        <v>0.1</v>
      </c>
      <c r="L64" s="631">
        <f t="shared" si="35"/>
        <v>0.35342105008998198</v>
      </c>
      <c r="M64" s="631">
        <f t="shared" si="36"/>
        <v>0.35342105008998198</v>
      </c>
      <c r="N64" s="631"/>
      <c r="O64" s="631"/>
      <c r="P64" s="631"/>
      <c r="Q64" s="631"/>
      <c r="R64" s="636"/>
      <c r="S64" s="636"/>
      <c r="T64" s="635">
        <v>0.28294862452177005</v>
      </c>
      <c r="U64" s="635"/>
      <c r="V64" s="635"/>
      <c r="W64" s="635"/>
      <c r="X64" s="635">
        <v>24.774521933301411</v>
      </c>
      <c r="Z64" s="634">
        <v>0.2467857582486834</v>
      </c>
      <c r="AA64" s="634">
        <v>3.1236261220229069E-2</v>
      </c>
      <c r="AB64" s="634">
        <v>4.9266050528575522E-3</v>
      </c>
      <c r="AC64" s="633">
        <f>AC63</f>
        <v>0.43478261770958732</v>
      </c>
      <c r="AD64" s="631">
        <f t="shared" si="37"/>
        <v>1.0939130661573218</v>
      </c>
      <c r="AF64" s="632">
        <f t="shared" si="38"/>
        <v>0.30952119741560624</v>
      </c>
      <c r="AG64" s="632">
        <f t="shared" si="30"/>
        <v>3.4391244157289586E-2</v>
      </c>
      <c r="AH64" s="632">
        <f t="shared" si="31"/>
        <v>3.4391244157289586E-2</v>
      </c>
      <c r="AI64" s="631">
        <f t="shared" si="39"/>
        <v>27.101173250639565</v>
      </c>
      <c r="AJ64" s="631">
        <f t="shared" si="32"/>
        <v>3.0112414722932854</v>
      </c>
      <c r="AK64" s="631">
        <f t="shared" si="33"/>
        <v>3.011241472293285</v>
      </c>
      <c r="AN64" s="632">
        <f>AF64-AF9</f>
        <v>-2.5932421743892249</v>
      </c>
      <c r="AO64" s="632">
        <f>AI64-AI9</f>
        <v>-185.32325472743793</v>
      </c>
    </row>
    <row r="65" spans="1:41" s="630" customFormat="1">
      <c r="A65" s="638" t="s">
        <v>823</v>
      </c>
      <c r="B65" s="638"/>
      <c r="C65" s="638"/>
      <c r="D65" s="631"/>
      <c r="E65" s="648"/>
      <c r="F65" s="648"/>
      <c r="G65" s="648"/>
      <c r="H65" s="648"/>
      <c r="I65" s="635">
        <f t="shared" si="34"/>
        <v>0.37439751275564598</v>
      </c>
      <c r="J65" s="637">
        <v>0.15</v>
      </c>
      <c r="K65" s="637">
        <v>0.15</v>
      </c>
      <c r="L65" s="631">
        <f t="shared" si="35"/>
        <v>5.6159626913346895E-2</v>
      </c>
      <c r="M65" s="631">
        <f t="shared" si="36"/>
        <v>5.6159626913346895E-2</v>
      </c>
      <c r="N65" s="637">
        <f>I65</f>
        <v>0.37439751275564598</v>
      </c>
      <c r="O65" s="637"/>
      <c r="P65" s="637"/>
      <c r="Q65" s="637"/>
      <c r="R65" s="636"/>
      <c r="S65" s="636"/>
      <c r="T65" s="635">
        <v>2.6709579148637648</v>
      </c>
      <c r="U65" s="635"/>
      <c r="V65" s="635"/>
      <c r="W65" s="635"/>
      <c r="X65" s="635">
        <v>86.157120422268747</v>
      </c>
      <c r="Z65" s="634">
        <v>2.4524004693519488</v>
      </c>
      <c r="AA65" s="634">
        <v>5.1574455118160696E-3</v>
      </c>
      <c r="AB65" s="634">
        <v>0.21340000000000001</v>
      </c>
      <c r="AC65" s="633">
        <f>AC64</f>
        <v>0.43478261770958732</v>
      </c>
      <c r="AD65" s="631">
        <f t="shared" si="37"/>
        <v>1.0939130661573218</v>
      </c>
      <c r="AF65" s="632">
        <f t="shared" si="38"/>
        <v>2.9217957622257877</v>
      </c>
      <c r="AG65" s="632">
        <f t="shared" si="30"/>
        <v>0.51561101686337429</v>
      </c>
      <c r="AH65" s="632">
        <f t="shared" si="31"/>
        <v>0.51561101686337429</v>
      </c>
      <c r="AI65" s="631">
        <f t="shared" si="39"/>
        <v>94.248399772409613</v>
      </c>
      <c r="AJ65" s="631">
        <f t="shared" si="32"/>
        <v>16.632070548072285</v>
      </c>
      <c r="AK65" s="631">
        <f t="shared" si="33"/>
        <v>16.632070548072285</v>
      </c>
      <c r="AN65" s="632">
        <f>AF65-AF9</f>
        <v>1.9032390420956613E-2</v>
      </c>
      <c r="AO65" s="632">
        <f>AI65-AI9</f>
        <v>-118.17602820566788</v>
      </c>
    </row>
    <row r="66" spans="1:41" s="630" customFormat="1">
      <c r="A66" s="638"/>
      <c r="B66" s="638"/>
      <c r="C66" s="638"/>
      <c r="D66" s="631"/>
      <c r="E66" s="648"/>
      <c r="F66" s="648"/>
      <c r="G66" s="648"/>
      <c r="H66" s="648"/>
      <c r="I66" s="635"/>
      <c r="J66" s="631"/>
      <c r="K66" s="631"/>
      <c r="L66" s="631"/>
      <c r="M66" s="631"/>
      <c r="N66" s="631"/>
      <c r="O66" s="631"/>
      <c r="P66" s="631"/>
      <c r="Q66" s="631"/>
      <c r="R66" s="636"/>
      <c r="S66" s="636"/>
      <c r="T66" s="635"/>
      <c r="U66" s="635"/>
      <c r="V66" s="635"/>
      <c r="W66" s="635"/>
      <c r="X66" s="635"/>
      <c r="Z66" s="634"/>
      <c r="AA66" s="634"/>
      <c r="AB66" s="634"/>
      <c r="AC66" s="633"/>
      <c r="AD66" s="631"/>
      <c r="AF66" s="632"/>
      <c r="AG66" s="632">
        <f t="shared" si="30"/>
        <v>0</v>
      </c>
      <c r="AH66" s="632">
        <f t="shared" si="31"/>
        <v>0</v>
      </c>
      <c r="AI66" s="631"/>
      <c r="AJ66" s="631">
        <f t="shared" si="32"/>
        <v>0</v>
      </c>
      <c r="AK66" s="631">
        <f t="shared" si="33"/>
        <v>0</v>
      </c>
    </row>
    <row r="67" spans="1:41" s="630" customFormat="1">
      <c r="A67" s="638" t="s">
        <v>829</v>
      </c>
      <c r="B67" s="638"/>
      <c r="C67" s="638"/>
      <c r="D67" s="631"/>
      <c r="E67" s="677" t="s">
        <v>828</v>
      </c>
      <c r="F67" s="648"/>
      <c r="G67" s="648"/>
      <c r="H67" s="648"/>
      <c r="I67" s="635">
        <f>1/T67</f>
        <v>0.32575700679343189</v>
      </c>
      <c r="J67" s="637">
        <v>0.1</v>
      </c>
      <c r="K67" s="637">
        <v>0.1</v>
      </c>
      <c r="L67" s="631">
        <f t="shared" ref="L67:L72" si="40">I67*J67</f>
        <v>3.2575700679343192E-2</v>
      </c>
      <c r="M67" s="631">
        <f t="shared" ref="M67:M72" si="41">I67*K67</f>
        <v>3.2575700679343192E-2</v>
      </c>
      <c r="N67" s="637">
        <f>I67</f>
        <v>0.32575700679343189</v>
      </c>
      <c r="O67" s="637"/>
      <c r="P67" s="637"/>
      <c r="Q67" s="637"/>
      <c r="R67" s="636"/>
      <c r="S67" s="636"/>
      <c r="T67" s="635">
        <v>3.069772803487592</v>
      </c>
      <c r="U67" s="635"/>
      <c r="V67" s="635"/>
      <c r="W67" s="635"/>
      <c r="X67" s="635">
        <v>248.36068075117367</v>
      </c>
      <c r="Z67" s="634">
        <v>1.3704071093226018</v>
      </c>
      <c r="AA67" s="634">
        <v>0.25937525150905422</v>
      </c>
      <c r="AB67" s="634">
        <v>1.4399904426559358</v>
      </c>
      <c r="AC67" s="633">
        <f>AC60</f>
        <v>0.43478261770958732</v>
      </c>
      <c r="AD67" s="631">
        <f t="shared" ref="AD67:AD72" si="42">42.5*0.74*8/100*AC67</f>
        <v>1.0939130661573218</v>
      </c>
      <c r="AF67" s="632">
        <f t="shared" ref="AF67:AF72" si="43">T67*AD67</f>
        <v>3.358064579869469</v>
      </c>
      <c r="AG67" s="632">
        <f t="shared" si="30"/>
        <v>0.37311828665216323</v>
      </c>
      <c r="AH67" s="632">
        <f t="shared" si="31"/>
        <v>0.37311828665216323</v>
      </c>
      <c r="AI67" s="631">
        <f t="shared" ref="AI67:AI72" si="44">X67*AD67</f>
        <v>271.68499379343609</v>
      </c>
      <c r="AJ67" s="631">
        <f t="shared" si="32"/>
        <v>30.187221532604013</v>
      </c>
      <c r="AK67" s="631">
        <f t="shared" si="33"/>
        <v>30.187221532604013</v>
      </c>
      <c r="AN67" s="632">
        <f>AF67-AF9</f>
        <v>0.45530120806463792</v>
      </c>
      <c r="AO67" s="632">
        <f>AI67-AI9</f>
        <v>59.260565815358603</v>
      </c>
    </row>
    <row r="68" spans="1:41" s="630" customFormat="1">
      <c r="A68" s="638" t="s">
        <v>827</v>
      </c>
      <c r="B68" s="638"/>
      <c r="C68" s="638"/>
      <c r="D68" s="631"/>
      <c r="E68" s="648"/>
      <c r="F68" s="648"/>
      <c r="G68" s="648"/>
      <c r="H68" s="648"/>
      <c r="I68" s="635">
        <f>1/T68</f>
        <v>0.26952073374915081</v>
      </c>
      <c r="J68" s="637">
        <v>0.1</v>
      </c>
      <c r="K68" s="637">
        <v>0.1</v>
      </c>
      <c r="L68" s="631">
        <f t="shared" si="40"/>
        <v>2.6952073374915082E-2</v>
      </c>
      <c r="M68" s="631">
        <f t="shared" si="41"/>
        <v>2.6952073374915082E-2</v>
      </c>
      <c r="N68" s="637">
        <f>I68</f>
        <v>0.26952073374915081</v>
      </c>
      <c r="O68" s="637"/>
      <c r="P68" s="637"/>
      <c r="Q68" s="637"/>
      <c r="R68" s="636"/>
      <c r="S68" s="636"/>
      <c r="T68" s="635">
        <v>3.7102896912217638</v>
      </c>
      <c r="U68" s="635"/>
      <c r="V68" s="635"/>
      <c r="W68" s="635"/>
      <c r="X68" s="635">
        <v>348.83668239208708</v>
      </c>
      <c r="Z68" s="634">
        <v>3.3165167770376298</v>
      </c>
      <c r="AA68" s="634">
        <v>0.38141818874411504</v>
      </c>
      <c r="AB68" s="634">
        <v>1.2354725440018748E-2</v>
      </c>
      <c r="AC68" s="633">
        <f>AC67</f>
        <v>0.43478261770958732</v>
      </c>
      <c r="AD68" s="631">
        <f t="shared" si="42"/>
        <v>1.0939130661573218</v>
      </c>
      <c r="AF68" s="632">
        <f t="shared" si="43"/>
        <v>4.0587343724563025</v>
      </c>
      <c r="AG68" s="632">
        <f t="shared" si="30"/>
        <v>0.4509704858284781</v>
      </c>
      <c r="AH68" s="632">
        <f t="shared" si="31"/>
        <v>0.4509704858284781</v>
      </c>
      <c r="AI68" s="631">
        <f t="shared" si="44"/>
        <v>381.59700482367577</v>
      </c>
      <c r="AJ68" s="631">
        <f t="shared" si="32"/>
        <v>42.399667202630646</v>
      </c>
      <c r="AK68" s="631">
        <f t="shared" si="33"/>
        <v>42.399667202630638</v>
      </c>
      <c r="AN68" s="632">
        <f>AF68-AF9</f>
        <v>1.1559710006514714</v>
      </c>
      <c r="AO68" s="632">
        <f>AI68-AI9</f>
        <v>169.17257684559829</v>
      </c>
    </row>
    <row r="69" spans="1:41" s="630" customFormat="1">
      <c r="A69" s="638" t="s">
        <v>826</v>
      </c>
      <c r="B69" s="638"/>
      <c r="C69" s="638"/>
      <c r="D69" s="631"/>
      <c r="E69" s="648"/>
      <c r="F69" s="648"/>
      <c r="G69" s="648"/>
      <c r="H69" s="648"/>
      <c r="I69" s="635">
        <f>1/T69</f>
        <v>0.1965288471329163</v>
      </c>
      <c r="J69" s="637">
        <v>0.1</v>
      </c>
      <c r="K69" s="637">
        <v>0.1</v>
      </c>
      <c r="L69" s="631">
        <f t="shared" si="40"/>
        <v>1.965288471329163E-2</v>
      </c>
      <c r="M69" s="631">
        <f t="shared" si="41"/>
        <v>1.965288471329163E-2</v>
      </c>
      <c r="N69" s="637">
        <f>I69</f>
        <v>0.1965288471329163</v>
      </c>
      <c r="O69" s="637"/>
      <c r="P69" s="637"/>
      <c r="Q69" s="637"/>
      <c r="R69" s="636"/>
      <c r="S69" s="636"/>
      <c r="T69" s="635">
        <v>5.0883115358819584</v>
      </c>
      <c r="U69" s="635"/>
      <c r="V69" s="635"/>
      <c r="W69" s="635"/>
      <c r="X69" s="635">
        <v>518.04906103286373</v>
      </c>
      <c r="Z69" s="634">
        <v>4.4713226022803489</v>
      </c>
      <c r="AA69" s="634">
        <v>0.58032595573440626</v>
      </c>
      <c r="AB69" s="634">
        <v>3.6662977867203218E-2</v>
      </c>
      <c r="AC69" s="633">
        <f>AC68</f>
        <v>0.43478261770958732</v>
      </c>
      <c r="AD69" s="631">
        <f t="shared" si="42"/>
        <v>1.0939130661573218</v>
      </c>
      <c r="AF69" s="632">
        <f t="shared" si="43"/>
        <v>5.5661704737803044</v>
      </c>
      <c r="AG69" s="632">
        <f t="shared" si="30"/>
        <v>0.61846338597558936</v>
      </c>
      <c r="AH69" s="632">
        <f t="shared" si="31"/>
        <v>0.61846338597558936</v>
      </c>
      <c r="AI69" s="631">
        <f t="shared" si="44"/>
        <v>566.70063677438145</v>
      </c>
      <c r="AJ69" s="631">
        <f t="shared" si="32"/>
        <v>62.966737419375718</v>
      </c>
      <c r="AK69" s="631">
        <f t="shared" si="33"/>
        <v>62.966737419375718</v>
      </c>
      <c r="AN69" s="632">
        <f>AF69-AF9</f>
        <v>2.6634071019754733</v>
      </c>
      <c r="AO69" s="632">
        <f>AI69-AI9</f>
        <v>354.27620879630399</v>
      </c>
    </row>
    <row r="70" spans="1:41" s="630" customFormat="1">
      <c r="A70" s="638" t="s">
        <v>825</v>
      </c>
      <c r="B70" s="638"/>
      <c r="C70" s="638"/>
      <c r="D70" s="631"/>
      <c r="E70" s="648"/>
      <c r="F70" s="648"/>
      <c r="G70" s="648"/>
      <c r="H70" s="648"/>
      <c r="I70" s="635">
        <f>1/T70</f>
        <v>0.67176943611413731</v>
      </c>
      <c r="J70" s="637">
        <v>0.1</v>
      </c>
      <c r="K70" s="637">
        <v>0.1</v>
      </c>
      <c r="L70" s="631">
        <f t="shared" si="40"/>
        <v>6.7176943611413728E-2</v>
      </c>
      <c r="M70" s="631">
        <f t="shared" si="41"/>
        <v>6.7176943611413728E-2</v>
      </c>
      <c r="N70" s="631"/>
      <c r="O70" s="631"/>
      <c r="P70" s="631"/>
      <c r="Q70" s="631"/>
      <c r="R70" s="636"/>
      <c r="S70" s="636"/>
      <c r="T70" s="635">
        <v>1.4886059803264025</v>
      </c>
      <c r="U70" s="635"/>
      <c r="V70" s="635"/>
      <c r="W70" s="635"/>
      <c r="X70" s="635">
        <v>150.08121658841935</v>
      </c>
      <c r="Z70" s="634">
        <v>1.2634337133914595</v>
      </c>
      <c r="AA70" s="634">
        <v>0.2133370668455174</v>
      </c>
      <c r="AB70" s="634">
        <v>1.1835200089425436E-2</v>
      </c>
      <c r="AC70" s="633">
        <f>AC69</f>
        <v>0.43478261770958732</v>
      </c>
      <c r="AD70" s="631">
        <f t="shared" si="42"/>
        <v>1.0939130661573218</v>
      </c>
      <c r="AF70" s="632">
        <f t="shared" si="43"/>
        <v>1.6284055322389808</v>
      </c>
      <c r="AG70" s="632">
        <f t="shared" si="30"/>
        <v>0.18093394802655344</v>
      </c>
      <c r="AH70" s="632">
        <f t="shared" si="31"/>
        <v>0.18093394802655344</v>
      </c>
      <c r="AI70" s="631">
        <f t="shared" si="44"/>
        <v>164.17580381085892</v>
      </c>
      <c r="AJ70" s="631">
        <f t="shared" si="32"/>
        <v>18.241755978984326</v>
      </c>
      <c r="AK70" s="631">
        <f t="shared" si="33"/>
        <v>18.241755978984326</v>
      </c>
      <c r="AN70" s="632">
        <f>AF70-AF9</f>
        <v>-1.2743578395658504</v>
      </c>
      <c r="AO70" s="632">
        <f>AI70-AI9</f>
        <v>-48.248624167218566</v>
      </c>
    </row>
    <row r="71" spans="1:41" s="630" customFormat="1">
      <c r="A71" s="638" t="s">
        <v>824</v>
      </c>
      <c r="B71" s="638"/>
      <c r="C71" s="638"/>
      <c r="D71" s="631"/>
      <c r="E71" s="648"/>
      <c r="F71" s="648"/>
      <c r="G71" s="648"/>
      <c r="H71" s="648"/>
      <c r="I71" s="635">
        <f>1/T71</f>
        <v>0.67812588885539027</v>
      </c>
      <c r="J71" s="637">
        <v>0.1</v>
      </c>
      <c r="K71" s="637">
        <v>0.1</v>
      </c>
      <c r="L71" s="631">
        <f t="shared" si="40"/>
        <v>6.7812588885539024E-2</v>
      </c>
      <c r="M71" s="631">
        <f t="shared" si="41"/>
        <v>6.7812588885539024E-2</v>
      </c>
      <c r="N71" s="631"/>
      <c r="O71" s="631"/>
      <c r="P71" s="631"/>
      <c r="Q71" s="631"/>
      <c r="R71" s="636"/>
      <c r="S71" s="636"/>
      <c r="T71" s="635">
        <v>1.4746524449728671</v>
      </c>
      <c r="U71" s="635"/>
      <c r="V71" s="635"/>
      <c r="W71" s="635"/>
      <c r="X71" s="635">
        <v>145.9641519419547</v>
      </c>
      <c r="Z71" s="634">
        <v>1.2894135113712575</v>
      </c>
      <c r="AA71" s="634">
        <v>0.17164413755258812</v>
      </c>
      <c r="AB71" s="634">
        <v>1.3594796049021396E-2</v>
      </c>
      <c r="AC71" s="633">
        <f>AC70</f>
        <v>0.43478261770958732</v>
      </c>
      <c r="AD71" s="631">
        <f t="shared" si="42"/>
        <v>1.0939130661573218</v>
      </c>
      <c r="AF71" s="632">
        <f t="shared" si="43"/>
        <v>1.6131415775966602</v>
      </c>
      <c r="AG71" s="632">
        <f t="shared" si="30"/>
        <v>0.17923795306629559</v>
      </c>
      <c r="AH71" s="632">
        <f t="shared" si="31"/>
        <v>0.17923795306629559</v>
      </c>
      <c r="AI71" s="631">
        <f t="shared" si="44"/>
        <v>159.67209299987687</v>
      </c>
      <c r="AJ71" s="631">
        <f t="shared" si="32"/>
        <v>17.741343666652988</v>
      </c>
      <c r="AK71" s="631">
        <f t="shared" si="33"/>
        <v>17.741343666652984</v>
      </c>
      <c r="AN71" s="632">
        <f>AF71-AF9</f>
        <v>-1.2896217942081709</v>
      </c>
      <c r="AO71" s="632">
        <f>AI71-AI9</f>
        <v>-52.752334978200622</v>
      </c>
    </row>
    <row r="72" spans="1:41" s="630" customFormat="1">
      <c r="A72" s="638" t="s">
        <v>823</v>
      </c>
      <c r="B72" s="638"/>
      <c r="C72" s="638"/>
      <c r="D72" s="631"/>
      <c r="E72" s="648"/>
      <c r="F72" s="648"/>
      <c r="G72" s="648"/>
      <c r="H72" s="648"/>
      <c r="I72" s="635">
        <f>I65*I68/I61</f>
        <v>0.25414519192638707</v>
      </c>
      <c r="J72" s="637">
        <v>0.15</v>
      </c>
      <c r="K72" s="637">
        <v>0.15</v>
      </c>
      <c r="L72" s="631">
        <f t="shared" si="40"/>
        <v>3.8121778788958061E-2</v>
      </c>
      <c r="M72" s="631">
        <f t="shared" si="41"/>
        <v>3.8121778788958061E-2</v>
      </c>
      <c r="R72" s="636"/>
      <c r="S72" s="636"/>
      <c r="T72" s="635">
        <f>T65*T68/T61</f>
        <v>3.9347586803438293</v>
      </c>
      <c r="U72" s="635"/>
      <c r="V72" s="635"/>
      <c r="W72" s="635"/>
      <c r="X72" s="635">
        <f>X65*X68/X61</f>
        <v>132.02351507691603</v>
      </c>
      <c r="Z72" s="634">
        <f>Z65*Z68/Z61</f>
        <v>3.5768796168499959</v>
      </c>
      <c r="AA72" s="634">
        <f>AA65*AA68/AA61</f>
        <v>8.1620720125144212E-3</v>
      </c>
      <c r="AB72" s="634">
        <f>AB65*AB68/AB61</f>
        <v>0.71516988354599209</v>
      </c>
      <c r="AC72" s="633">
        <f>AC71</f>
        <v>0.43478261770958732</v>
      </c>
      <c r="AD72" s="631">
        <f t="shared" si="42"/>
        <v>1.0939130661573218</v>
      </c>
      <c r="AF72" s="632">
        <f t="shared" si="43"/>
        <v>4.3042839326040552</v>
      </c>
      <c r="AG72" s="632">
        <f t="shared" si="30"/>
        <v>0.75957951751836272</v>
      </c>
      <c r="AH72" s="632">
        <f t="shared" si="31"/>
        <v>0.75957951751836272</v>
      </c>
      <c r="AI72" s="631">
        <f t="shared" si="44"/>
        <v>144.4222481826566</v>
      </c>
      <c r="AJ72" s="631">
        <f t="shared" si="32"/>
        <v>25.48627909105705</v>
      </c>
      <c r="AK72" s="631">
        <f t="shared" si="33"/>
        <v>25.486279091057046</v>
      </c>
    </row>
    <row r="73" spans="1:41">
      <c r="X73" s="629"/>
    </row>
  </sheetData>
  <phoneticPr fontId="60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29"/>
  <sheetViews>
    <sheetView topLeftCell="L1" zoomScale="80" zoomScaleNormal="80" workbookViewId="0">
      <selection activeCell="E11" sqref="E11"/>
    </sheetView>
  </sheetViews>
  <sheetFormatPr defaultColWidth="8.875" defaultRowHeight="13.5"/>
  <cols>
    <col min="1" max="1" width="22" style="543" bestFit="1" customWidth="1"/>
    <col min="2" max="2" width="22" style="543" customWidth="1"/>
    <col min="3" max="3" width="12" style="543" customWidth="1"/>
    <col min="4" max="4" width="9.875" style="543" customWidth="1"/>
    <col min="5" max="5" width="12" style="543" customWidth="1"/>
    <col min="6" max="6" width="10" style="543" customWidth="1"/>
    <col min="7" max="7" width="11.375" style="543" customWidth="1"/>
    <col min="8" max="8" width="10.5" style="543" customWidth="1"/>
    <col min="9" max="16384" width="8.875" style="543"/>
  </cols>
  <sheetData>
    <row r="1" spans="1:8" s="587" customFormat="1" ht="40.5">
      <c r="C1" s="587" t="str">
        <f>'WTP&amp;WTW'!AF1</f>
        <v>WTW fossil energy use</v>
      </c>
      <c r="D1" s="587" t="str">
        <f>'WTP&amp;WTW'!AG1</f>
        <v>Upper limit of error</v>
      </c>
      <c r="E1" s="587" t="str">
        <f>'WTP&amp;WTW'!AH1</f>
        <v>Lower limit of error</v>
      </c>
      <c r="F1" s="587" t="str">
        <f>'WTP&amp;WTW'!AI1</f>
        <v>WTW GHG emission</v>
      </c>
      <c r="G1" s="587" t="str">
        <f>'WTP&amp;WTW'!AJ1</f>
        <v>Upper limit of error</v>
      </c>
      <c r="H1" s="587" t="str">
        <f>'WTP&amp;WTW'!AK1</f>
        <v>Lower limit of error</v>
      </c>
    </row>
    <row r="2" spans="1:8">
      <c r="C2" s="543" t="str">
        <f>'WTP&amp;WTW'!AF2</f>
        <v>(MJ/km)</v>
      </c>
      <c r="F2" s="543" t="str">
        <f>'WTP&amp;WTW'!AI2</f>
        <v>(g CO2e/km)</v>
      </c>
    </row>
    <row r="3" spans="1:8">
      <c r="A3" s="543" t="str">
        <f>'WTP&amp;WTW'!A3</f>
        <v>SI ICE-Gasoline (8L/100km)</v>
      </c>
      <c r="B3" s="543" t="str">
        <f>total!C38</f>
        <v>汽油车</v>
      </c>
      <c r="C3" s="568">
        <f>'WTP&amp;WTW'!AF3</f>
        <v>3.2156682733811834</v>
      </c>
      <c r="D3" s="568">
        <f>'WTP&amp;WTW'!AG3</f>
        <v>0.16924569859900968</v>
      </c>
      <c r="E3" s="568">
        <f>'WTP&amp;WTW'!AH3</f>
        <v>0.16924569859900968</v>
      </c>
      <c r="F3" s="568">
        <f>'WTP&amp;WTW'!AI3</f>
        <v>228.3475890415595</v>
      </c>
      <c r="G3" s="568">
        <f>'WTP&amp;WTW'!AJ3</f>
        <v>12.01829416008208</v>
      </c>
      <c r="H3" s="568">
        <f>'WTP&amp;WTW'!AK3</f>
        <v>12.01829416008208</v>
      </c>
    </row>
    <row r="4" spans="1:8">
      <c r="A4" s="543" t="str">
        <f>'WTP&amp;WTW'!A9</f>
        <v>CI ICE-Diesel</v>
      </c>
      <c r="B4" s="543" t="str">
        <f>total!C39</f>
        <v>柴油车</v>
      </c>
      <c r="C4" s="568">
        <f>'WTP&amp;WTW'!AF9</f>
        <v>2.9027633718048311</v>
      </c>
      <c r="D4" s="568">
        <f>'WTP&amp;WTW'!AG9</f>
        <v>0.15277701956867534</v>
      </c>
      <c r="E4" s="568">
        <f>'WTP&amp;WTW'!AH9</f>
        <v>0.15277701956867534</v>
      </c>
      <c r="F4" s="568">
        <f>'WTP&amp;WTW'!AI9</f>
        <v>212.42442797807749</v>
      </c>
      <c r="G4" s="568">
        <f>'WTP&amp;WTW'!AJ9</f>
        <v>11.180233051477764</v>
      </c>
      <c r="H4" s="568">
        <f>'WTP&amp;WTW'!AK9</f>
        <v>11.180233051477764</v>
      </c>
    </row>
    <row r="5" spans="1:8">
      <c r="C5" s="568"/>
      <c r="D5" s="568"/>
      <c r="E5" s="568"/>
      <c r="F5" s="568"/>
      <c r="G5" s="568"/>
      <c r="H5" s="568"/>
    </row>
    <row r="6" spans="1:8">
      <c r="A6" s="543" t="str">
        <f>'WTP&amp;WTW'!A10</f>
        <v>SI ICE-LPG</v>
      </c>
      <c r="B6" s="543" t="str">
        <f>total!C42</f>
        <v>LPG车</v>
      </c>
      <c r="C6" s="568">
        <f>'WTP&amp;WTW'!AF10</f>
        <v>3.1912734652460677</v>
      </c>
      <c r="D6" s="568">
        <f>'WTP&amp;WTW'!AG10</f>
        <v>0.16796176132874041</v>
      </c>
      <c r="E6" s="568">
        <f>'WTP&amp;WTW'!AH10</f>
        <v>0.16796176132874041</v>
      </c>
      <c r="F6" s="568">
        <f>'WTP&amp;WTW'!AI10</f>
        <v>227.69800000000001</v>
      </c>
      <c r="G6" s="568">
        <f>'WTP&amp;WTW'!AJ10</f>
        <v>11.984105263157897</v>
      </c>
      <c r="H6" s="568">
        <f>'WTP&amp;WTW'!AK10</f>
        <v>11.984105263157897</v>
      </c>
    </row>
    <row r="7" spans="1:8">
      <c r="A7" s="543" t="str">
        <f>'WTP&amp;WTW'!A12</f>
        <v>SI ICE-CNG</v>
      </c>
      <c r="B7" s="543" t="str">
        <f>total!C43</f>
        <v>CNG车</v>
      </c>
      <c r="C7" s="568">
        <f>'WTP&amp;WTW'!AF12</f>
        <v>3.1692047482289221</v>
      </c>
      <c r="D7" s="568">
        <f>'WTP&amp;WTW'!AG12</f>
        <v>0.35213386091432469</v>
      </c>
      <c r="E7" s="568">
        <f>'WTP&amp;WTW'!AH12</f>
        <v>0.35213386091432469</v>
      </c>
      <c r="F7" s="568">
        <f>'WTP&amp;WTW'!AI12</f>
        <v>193.68334891134745</v>
      </c>
      <c r="G7" s="568">
        <f>'WTP&amp;WTW'!AJ12</f>
        <v>21.520372101260829</v>
      </c>
      <c r="H7" s="568">
        <f>'WTP&amp;WTW'!AK12</f>
        <v>21.520372101260829</v>
      </c>
    </row>
    <row r="8" spans="1:8">
      <c r="A8" s="543" t="str">
        <f>'WTP&amp;WTW'!A13</f>
        <v>SI ICE-LNG1</v>
      </c>
      <c r="B8" s="543" t="str">
        <f>total!C44</f>
        <v>LNG车(海外进口)</v>
      </c>
      <c r="C8" s="568">
        <f>'WTP&amp;WTW'!AF13/100</f>
        <v>3.1809168395857159</v>
      </c>
      <c r="D8" s="568">
        <f>'WTP&amp;WTW'!AG13/100</f>
        <v>0.16741667576766928</v>
      </c>
      <c r="E8" s="568">
        <f>'WTP&amp;WTW'!AH13/100</f>
        <v>0.16741667576766925</v>
      </c>
      <c r="F8" s="568">
        <f>'WTP&amp;WTW'!AI13/100</f>
        <v>190.0978289995931</v>
      </c>
      <c r="G8" s="568">
        <f>'WTP&amp;WTW'!AJ13/100</f>
        <v>10.005148894715427</v>
      </c>
      <c r="H8" s="568">
        <f>'WTP&amp;WTW'!AK13/100</f>
        <v>10.005148894715427</v>
      </c>
    </row>
    <row r="9" spans="1:8">
      <c r="A9" s="543" t="str">
        <f>'WTP&amp;WTW'!A14</f>
        <v>SI ICE-LNG2</v>
      </c>
      <c r="B9" s="543" t="str">
        <f>total!C45</f>
        <v>LNG车(井口液化)</v>
      </c>
      <c r="C9" s="568">
        <f>'WTP&amp;WTW'!AF14/100</f>
        <v>3.1479184999428544</v>
      </c>
      <c r="D9" s="568">
        <f>'WTP&amp;WTW'!AG14/100</f>
        <v>0.16567992104962392</v>
      </c>
      <c r="E9" s="568">
        <f>'WTP&amp;WTW'!AH14/100</f>
        <v>0.16567992104962392</v>
      </c>
      <c r="F9" s="568">
        <f>'WTP&amp;WTW'!AI14/100</f>
        <v>195.93649715108381</v>
      </c>
      <c r="G9" s="568">
        <f>'WTP&amp;WTW'!AJ14/100</f>
        <v>10.312447218478097</v>
      </c>
      <c r="H9" s="568">
        <f>'WTP&amp;WTW'!AK14/100</f>
        <v>10.312447218478097</v>
      </c>
    </row>
    <row r="10" spans="1:8">
      <c r="A10" s="543" t="str">
        <f>'WTP&amp;WTW'!A15</f>
        <v>SI ICE-LNG3</v>
      </c>
      <c r="B10" s="543" t="str">
        <f>total!C46</f>
        <v>LNG车(管道气液化)</v>
      </c>
      <c r="C10" s="568">
        <f>'WTP&amp;WTW'!AF15/100</f>
        <v>3.1861157694856477</v>
      </c>
      <c r="D10" s="568">
        <f>'WTP&amp;WTW'!AG15/100</f>
        <v>0.16769030365713938</v>
      </c>
      <c r="E10" s="568">
        <f>'WTP&amp;WTW'!AH15/100</f>
        <v>0.16769030365713938</v>
      </c>
      <c r="F10" s="568">
        <f>'WTP&amp;WTW'!AI15/100</f>
        <v>198.46775528638267</v>
      </c>
      <c r="G10" s="568">
        <f>'WTP&amp;WTW'!AJ15/100</f>
        <v>10.445671330862247</v>
      </c>
      <c r="H10" s="568">
        <f>'WTP&amp;WTW'!AK15/100</f>
        <v>10.445671330862247</v>
      </c>
    </row>
    <row r="11" spans="1:8">
      <c r="A11" s="543" t="str">
        <f>'WTP&amp;WTW'!A16</f>
        <v>CI ICE-GTL</v>
      </c>
      <c r="B11" s="543" t="str">
        <f>total!C47</f>
        <v>GTL车</v>
      </c>
      <c r="C11" s="568">
        <f>'WTP&amp;WTW'!AF16</f>
        <v>4.8861088829297961</v>
      </c>
      <c r="D11" s="568">
        <f>'WTP&amp;WTW'!AG16</f>
        <v>0.86225450875231702</v>
      </c>
      <c r="E11" s="568">
        <f>'WTP&amp;WTW'!AH16</f>
        <v>0.86225450875231702</v>
      </c>
      <c r="F11" s="568">
        <f>'WTP&amp;WTW'!AI16</f>
        <v>328.3715364609817</v>
      </c>
      <c r="G11" s="568">
        <f>'WTP&amp;WTW'!AJ16</f>
        <v>57.947918198996774</v>
      </c>
      <c r="H11" s="568">
        <f>'WTP&amp;WTW'!AK16</f>
        <v>57.947918198996767</v>
      </c>
    </row>
    <row r="13" spans="1:8">
      <c r="C13" s="543" t="s">
        <v>793</v>
      </c>
      <c r="F13" s="543" t="s">
        <v>792</v>
      </c>
    </row>
    <row r="14" spans="1:8">
      <c r="A14" s="543" t="s">
        <v>795</v>
      </c>
      <c r="B14" s="543" t="str">
        <f t="shared" ref="B14:B19" si="0">B6</f>
        <v>LPG车</v>
      </c>
      <c r="C14" s="606">
        <f>C6/C3</f>
        <v>0.99241376719823615</v>
      </c>
      <c r="F14" s="606">
        <f>F6/F3</f>
        <v>0.99715526209720007</v>
      </c>
    </row>
    <row r="15" spans="1:8">
      <c r="B15" s="543" t="str">
        <f t="shared" si="0"/>
        <v>CNG车</v>
      </c>
      <c r="C15" s="606">
        <f>C7/C3</f>
        <v>0.98555089604954604</v>
      </c>
      <c r="F15" s="606">
        <f>F7/F3</f>
        <v>0.84819528738749628</v>
      </c>
    </row>
    <row r="16" spans="1:8">
      <c r="B16" s="543" t="str">
        <f t="shared" si="0"/>
        <v>LNG车(海外进口)</v>
      </c>
      <c r="C16" s="606">
        <f>C8/C3</f>
        <v>0.98919309118943188</v>
      </c>
      <c r="F16" s="606">
        <f>F8/F3</f>
        <v>0.8324932608112412</v>
      </c>
    </row>
    <row r="17" spans="1:6">
      <c r="B17" s="543" t="str">
        <f t="shared" si="0"/>
        <v>LNG车(井口液化)</v>
      </c>
      <c r="C17" s="606">
        <f>C9/C3</f>
        <v>0.97893135495375827</v>
      </c>
      <c r="F17" s="606">
        <f>F9/F3</f>
        <v>0.85806247385175227</v>
      </c>
    </row>
    <row r="18" spans="1:6">
      <c r="B18" s="543" t="str">
        <f t="shared" si="0"/>
        <v>LNG车(管道气液化)</v>
      </c>
      <c r="C18" s="606">
        <f>C10/C3</f>
        <v>0.99080984063556343</v>
      </c>
      <c r="F18" s="606">
        <f>F10/F3</f>
        <v>0.86914758381907564</v>
      </c>
    </row>
    <row r="19" spans="1:6">
      <c r="B19" s="543" t="str">
        <f t="shared" si="0"/>
        <v>GTL车</v>
      </c>
      <c r="C19" s="606">
        <f>C11/C4</f>
        <v>1.6832611746412502</v>
      </c>
      <c r="F19" s="606">
        <f>F11/F4</f>
        <v>1.5458275660032381</v>
      </c>
    </row>
    <row r="21" spans="1:6">
      <c r="A21" s="543" t="s">
        <v>794</v>
      </c>
      <c r="C21" s="543" t="s">
        <v>793</v>
      </c>
      <c r="F21" s="543" t="s">
        <v>792</v>
      </c>
    </row>
    <row r="22" spans="1:6">
      <c r="B22" s="543" t="str">
        <f t="shared" ref="B22:B27" si="1">B14</f>
        <v>LPG车</v>
      </c>
      <c r="C22" s="606">
        <f>C6/C4</f>
        <v>1.0993915302375652</v>
      </c>
      <c r="D22" s="606"/>
      <c r="E22" s="606"/>
      <c r="F22" s="606">
        <f>F6/F4</f>
        <v>1.0719012034882296</v>
      </c>
    </row>
    <row r="23" spans="1:6">
      <c r="B23" s="543" t="str">
        <f t="shared" si="1"/>
        <v>CNG车</v>
      </c>
      <c r="C23" s="606">
        <f>C7/C4</f>
        <v>1.0917888722904849</v>
      </c>
      <c r="F23" s="606">
        <f>F7/F4</f>
        <v>0.91177531113011101</v>
      </c>
    </row>
    <row r="24" spans="1:6">
      <c r="B24" s="543" t="str">
        <f t="shared" si="1"/>
        <v>LNG车(海外进口)</v>
      </c>
      <c r="C24" s="606">
        <f>C8/C4</f>
        <v>1.0958236797675793</v>
      </c>
      <c r="F24" s="606">
        <f>F8/F4</f>
        <v>0.89489627350773182</v>
      </c>
    </row>
    <row r="25" spans="1:6">
      <c r="B25" s="543" t="str">
        <f t="shared" si="1"/>
        <v>LNG车(井口液化)</v>
      </c>
      <c r="C25" s="606">
        <f>C9/C4</f>
        <v>1.0844557742871046</v>
      </c>
      <c r="F25" s="606">
        <f>F9/F4</f>
        <v>0.9223821338066861</v>
      </c>
    </row>
    <row r="26" spans="1:6">
      <c r="B26" s="543" t="str">
        <f t="shared" si="1"/>
        <v>LNG车(管道气液化)</v>
      </c>
      <c r="C26" s="606">
        <f>C10/C4</f>
        <v>1.0976147075690288</v>
      </c>
      <c r="F26" s="606">
        <f>F10/F4</f>
        <v>0.93429817453416808</v>
      </c>
    </row>
    <row r="27" spans="1:6">
      <c r="B27" s="543" t="str">
        <f t="shared" si="1"/>
        <v>GTL车</v>
      </c>
      <c r="C27" s="606">
        <f>C11/C4</f>
        <v>1.6832611746412502</v>
      </c>
      <c r="F27" s="606">
        <f>F11/F4</f>
        <v>1.5458275660032381</v>
      </c>
    </row>
    <row r="28" spans="1:6">
      <c r="D28" s="606"/>
    </row>
    <row r="29" spans="1:6">
      <c r="D29" s="606"/>
    </row>
  </sheetData>
  <phoneticPr fontId="60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25"/>
  <sheetViews>
    <sheetView topLeftCell="H43" workbookViewId="0">
      <selection sqref="A1:H26"/>
    </sheetView>
  </sheetViews>
  <sheetFormatPr defaultColWidth="8.875" defaultRowHeight="13.5"/>
  <cols>
    <col min="1" max="2" width="24.25" style="543" customWidth="1"/>
    <col min="3" max="4" width="10.5" style="543" customWidth="1"/>
    <col min="5" max="5" width="12.125" style="543" customWidth="1"/>
    <col min="6" max="6" width="11.75" style="543" customWidth="1"/>
    <col min="7" max="8" width="11" style="543" customWidth="1"/>
    <col min="9" max="16384" width="8.875" style="543"/>
  </cols>
  <sheetData>
    <row r="1" spans="1:8" s="587" customFormat="1" ht="54">
      <c r="C1" s="587" t="str">
        <f>'WTP&amp;WTW'!AF1</f>
        <v>WTW fossil energy use</v>
      </c>
      <c r="D1" s="587" t="str">
        <f>'WTP&amp;WTW'!AG1</f>
        <v>Upper limit of error</v>
      </c>
      <c r="E1" s="587" t="str">
        <f>'WTP&amp;WTW'!AH1</f>
        <v>Lower limit of error</v>
      </c>
      <c r="F1" s="587" t="str">
        <f>'WTP&amp;WTW'!AI1</f>
        <v>WTW GHG emission</v>
      </c>
      <c r="G1" s="587" t="str">
        <f>'WTP&amp;WTW'!AJ1</f>
        <v>Upper limit of error</v>
      </c>
      <c r="H1" s="587" t="str">
        <f>'WTP&amp;WTW'!AK1</f>
        <v>Lower limit of error</v>
      </c>
    </row>
    <row r="2" spans="1:8">
      <c r="C2" s="543" t="str">
        <f>'WTP&amp;WTW'!AF2</f>
        <v>(MJ/km)</v>
      </c>
      <c r="F2" s="543" t="str">
        <f>'WTP&amp;WTW'!AI2</f>
        <v>(g CO2e/km)</v>
      </c>
    </row>
    <row r="3" spans="1:8">
      <c r="A3" s="543" t="str">
        <f>'WTP&amp;WTW'!A3</f>
        <v>SI ICE-Gasoline (8L/100km)</v>
      </c>
      <c r="B3" s="543" t="str">
        <f>total!C38</f>
        <v>汽油车</v>
      </c>
      <c r="C3" s="568">
        <f>'WTP&amp;WTW'!AF3</f>
        <v>3.2156682733811834</v>
      </c>
      <c r="D3" s="568">
        <f>'WTP&amp;WTW'!AG3</f>
        <v>0.16924569859900968</v>
      </c>
      <c r="E3" s="568">
        <f>'WTP&amp;WTW'!AH3</f>
        <v>0.16924569859900968</v>
      </c>
      <c r="F3" s="568">
        <f>'WTP&amp;WTW'!AI3</f>
        <v>228.3475890415595</v>
      </c>
      <c r="G3" s="568">
        <f>'WTP&amp;WTW'!AJ3</f>
        <v>12.01829416008208</v>
      </c>
      <c r="H3" s="568">
        <f>'WTP&amp;WTW'!AK3</f>
        <v>12.01829416008208</v>
      </c>
    </row>
    <row r="4" spans="1:8">
      <c r="A4" s="543" t="str">
        <f>'WTP&amp;WTW'!A9</f>
        <v>CI ICE-Diesel</v>
      </c>
      <c r="B4" s="543" t="str">
        <f>total!C39</f>
        <v>柴油车</v>
      </c>
      <c r="C4" s="568">
        <f>'WTP&amp;WTW'!AF9</f>
        <v>2.9027633718048311</v>
      </c>
      <c r="D4" s="568">
        <f>'WTP&amp;WTW'!AG9</f>
        <v>0.15277701956867534</v>
      </c>
      <c r="E4" s="568">
        <f>'WTP&amp;WTW'!AH9</f>
        <v>0.15277701956867534</v>
      </c>
      <c r="F4" s="568">
        <f>'WTP&amp;WTW'!AI9</f>
        <v>212.42442797807749</v>
      </c>
      <c r="G4" s="568">
        <f>'WTP&amp;WTW'!AJ9</f>
        <v>11.180233051477764</v>
      </c>
      <c r="H4" s="568">
        <f>'WTP&amp;WTW'!AK9</f>
        <v>11.180233051477764</v>
      </c>
    </row>
    <row r="5" spans="1:8">
      <c r="C5" s="568"/>
      <c r="D5" s="568"/>
      <c r="E5" s="568"/>
      <c r="F5" s="568"/>
      <c r="G5" s="568"/>
      <c r="H5" s="568"/>
    </row>
    <row r="6" spans="1:8">
      <c r="A6" s="543" t="str">
        <f>'WTP&amp;WTW'!A29</f>
        <v>SI ICE-Corn ethanol</v>
      </c>
      <c r="B6" s="543" t="str">
        <f>total!C72</f>
        <v>玉米乙醇汽车</v>
      </c>
      <c r="C6" s="568">
        <f>'WTP&amp;WTW'!AF29</f>
        <v>3.6028522662793607</v>
      </c>
      <c r="D6" s="568">
        <f>'WTP&amp;WTW'!AG29</f>
        <v>0.40031691847548456</v>
      </c>
      <c r="E6" s="568">
        <f>'WTP&amp;WTW'!AH29</f>
        <v>0.90071306656984018</v>
      </c>
      <c r="F6" s="568">
        <f>'WTP&amp;WTW'!AI29</f>
        <v>493.25966102567833</v>
      </c>
      <c r="G6" s="568">
        <f>'WTP&amp;WTW'!AJ29</f>
        <v>54.80662900285315</v>
      </c>
      <c r="H6" s="568">
        <f>'WTP&amp;WTW'!AK29</f>
        <v>123.31491525641958</v>
      </c>
    </row>
    <row r="7" spans="1:8">
      <c r="A7" s="543" t="str">
        <f>'WTP&amp;WTW'!A30</f>
        <v>SI ICE-Cassava ethanol</v>
      </c>
      <c r="B7" s="543" t="str">
        <f>total!C73</f>
        <v>木薯乙醇汽车</v>
      </c>
      <c r="C7" s="568">
        <f>'WTP&amp;WTW'!AF30</f>
        <v>2.0493189258262987</v>
      </c>
      <c r="D7" s="568">
        <f>'WTP&amp;WTW'!AG30</f>
        <v>0.22770210286958875</v>
      </c>
      <c r="E7" s="568">
        <f>'WTP&amp;WTW'!AH30</f>
        <v>0.51232973145657468</v>
      </c>
      <c r="F7" s="568">
        <f>'WTP&amp;WTW'!AI30</f>
        <v>224.78508530659494</v>
      </c>
      <c r="G7" s="568">
        <f>'WTP&amp;WTW'!AJ30</f>
        <v>24.976120589621662</v>
      </c>
      <c r="H7" s="568">
        <f>'WTP&amp;WTW'!AK30</f>
        <v>56.196271326648741</v>
      </c>
    </row>
    <row r="8" spans="1:8">
      <c r="A8" s="543" t="str">
        <f>'WTP&amp;WTW'!A31</f>
        <v>SI ICE-Sweet sorghum ethanol</v>
      </c>
      <c r="B8" s="543" t="str">
        <f>total!C74</f>
        <v>甜高粱乙醇汽车</v>
      </c>
      <c r="C8" s="568">
        <f>'WTP&amp;WTW'!AF31</f>
        <v>1.7000554650387762</v>
      </c>
      <c r="D8" s="568">
        <f>'WTP&amp;WTW'!AG31</f>
        <v>2.5500831975581639</v>
      </c>
      <c r="E8" s="568">
        <f>'WTP&amp;WTW'!AH31</f>
        <v>0.42501386625969406</v>
      </c>
      <c r="F8" s="568">
        <f>'WTP&amp;WTW'!AI31</f>
        <v>160.26954337595097</v>
      </c>
      <c r="G8" s="568">
        <f>'WTP&amp;WTW'!AJ31</f>
        <v>240.40431506392642</v>
      </c>
      <c r="H8" s="568">
        <f>'WTP&amp;WTW'!AK31</f>
        <v>40.067385843987736</v>
      </c>
    </row>
    <row r="9" spans="1:8">
      <c r="A9" s="543" t="str">
        <f>'WTP&amp;WTW'!A32</f>
        <v>SI ICE-Woody ethanol</v>
      </c>
      <c r="B9" s="543" t="str">
        <f>total!C75</f>
        <v>木本二代生物燃料汽车</v>
      </c>
      <c r="C9" s="568">
        <f>'WTP&amp;WTW'!AF32</f>
        <v>0.93428531949103355</v>
      </c>
      <c r="D9" s="568">
        <f>'WTP&amp;WTW'!AG32</f>
        <v>0.10380947994344818</v>
      </c>
      <c r="E9" s="568">
        <f>'WTP&amp;WTW'!AH32</f>
        <v>0.10380947994344818</v>
      </c>
      <c r="F9" s="568">
        <f>'WTP&amp;WTW'!AI32</f>
        <v>79.7318078857746</v>
      </c>
      <c r="G9" s="568">
        <f>'WTP&amp;WTW'!AJ32</f>
        <v>-8.8590897650860665</v>
      </c>
      <c r="H9" s="568">
        <f>'WTP&amp;WTW'!AK32</f>
        <v>-8.8590897650860665</v>
      </c>
    </row>
    <row r="10" spans="1:8">
      <c r="A10" s="543" t="str">
        <f>'WTP&amp;WTW'!A33</f>
        <v>SI ICE-Herbaceous ethanol</v>
      </c>
      <c r="B10" s="543" t="str">
        <f>total!C76</f>
        <v>草本二代生物燃料汽车</v>
      </c>
      <c r="C10" s="568">
        <f>'WTP&amp;WTW'!AF33</f>
        <v>0.5173083858561639</v>
      </c>
      <c r="D10" s="568">
        <f>'WTP&amp;WTW'!AG33</f>
        <v>5.747870953957377E-2</v>
      </c>
      <c r="E10" s="568">
        <f>'WTP&amp;WTW'!AH33</f>
        <v>5.7478709539573763E-2</v>
      </c>
      <c r="F10" s="568">
        <f>'WTP&amp;WTW'!AI33</f>
        <v>9.5174561427939821</v>
      </c>
      <c r="G10" s="568">
        <f>'WTP&amp;WTW'!AJ33</f>
        <v>1.0574951269771091</v>
      </c>
      <c r="H10" s="568">
        <f>'WTP&amp;WTW'!AK33</f>
        <v>1.0574951269771091</v>
      </c>
    </row>
    <row r="11" spans="1:8">
      <c r="C11" s="568"/>
      <c r="D11" s="568"/>
      <c r="E11" s="568"/>
      <c r="F11" s="568"/>
      <c r="G11" s="568"/>
      <c r="H11" s="568"/>
    </row>
    <row r="12" spans="1:8">
      <c r="A12" s="543" t="str">
        <f>'WTP&amp;WTW'!A35</f>
        <v>CI ICE-Waste oil biodiesel</v>
      </c>
      <c r="B12" s="543" t="str">
        <f>total!C78</f>
        <v>废弃油生物柴油汽车</v>
      </c>
      <c r="C12" s="568">
        <f>'WTP&amp;WTW'!AF35</f>
        <v>2.2208655948181812</v>
      </c>
      <c r="D12" s="568">
        <f>'WTP&amp;WTW'!AG35</f>
        <v>0.24676284386868683</v>
      </c>
      <c r="E12" s="568">
        <f>'WTP&amp;WTW'!AH35</f>
        <v>0.95179954063636341</v>
      </c>
      <c r="F12" s="568">
        <f>'WTP&amp;WTW'!AI35</f>
        <v>394.48180208639752</v>
      </c>
      <c r="G12" s="568">
        <f>'WTP&amp;WTW'!AJ35</f>
        <v>43.831311342933063</v>
      </c>
      <c r="H12" s="568">
        <f>'WTP&amp;WTW'!AK35</f>
        <v>169.06362946559895</v>
      </c>
    </row>
    <row r="13" spans="1:8">
      <c r="A13" s="543" t="str">
        <f>'WTP&amp;WTW'!A36</f>
        <v>CI ICE-Jatropha biodiesel</v>
      </c>
      <c r="B13" s="543" t="str">
        <f>total!C79</f>
        <v>小桐子生物柴油汽车</v>
      </c>
      <c r="C13" s="568">
        <f>'WTP&amp;WTW'!AF36</f>
        <v>0.49322283877804179</v>
      </c>
      <c r="D13" s="568">
        <f>'WTP&amp;WTW'!AG36</f>
        <v>5.4802537642004649E-2</v>
      </c>
      <c r="E13" s="568">
        <f>'WTP&amp;WTW'!AH36</f>
        <v>5.4802537642004649E-2</v>
      </c>
      <c r="F13" s="568">
        <f>'WTP&amp;WTW'!AI36</f>
        <v>40.495416118041561</v>
      </c>
      <c r="G13" s="568">
        <f>'WTP&amp;WTW'!AJ36</f>
        <v>4.4994906797823964</v>
      </c>
      <c r="H13" s="568">
        <f>'WTP&amp;WTW'!AK36</f>
        <v>4.4994906797823955</v>
      </c>
    </row>
    <row r="14" spans="1:8">
      <c r="A14" s="543" t="str">
        <f>'WTP&amp;WTW'!A37</f>
        <v>CI ICE-BTL (F-T) biodiesel</v>
      </c>
      <c r="B14" s="543" t="str">
        <f>total!C80</f>
        <v>费托生物柴油汽车</v>
      </c>
      <c r="C14" s="568">
        <f>'WTP&amp;WTW'!AF37</f>
        <v>0.13266181818181819</v>
      </c>
      <c r="D14" s="568">
        <f>'WTP&amp;WTW'!AG37</f>
        <v>3.3165454545454547E-2</v>
      </c>
      <c r="E14" s="568">
        <f>'WTP&amp;WTW'!AH37</f>
        <v>3.3165454545454547E-2</v>
      </c>
      <c r="F14" s="568">
        <f>'WTP&amp;WTW'!AI37</f>
        <v>16.559854545454531</v>
      </c>
      <c r="G14" s="568">
        <f>'WTP&amp;WTW'!AJ37</f>
        <v>4.1399636363636327</v>
      </c>
      <c r="H14" s="568">
        <f>'WTP&amp;WTW'!AK37</f>
        <v>4.1399636363636327</v>
      </c>
    </row>
    <row r="16" spans="1:8">
      <c r="D16" s="568">
        <f>C6/C3</f>
        <v>1.1204054522984315</v>
      </c>
      <c r="G16" s="568">
        <f>F6/F3</f>
        <v>2.1601264243517129</v>
      </c>
    </row>
    <row r="17" spans="4:7">
      <c r="D17" s="568">
        <f>C7/C3</f>
        <v>0.63729177004675874</v>
      </c>
      <c r="G17" s="568">
        <f>F7/F3</f>
        <v>0.98439876790502834</v>
      </c>
    </row>
    <row r="18" spans="4:7">
      <c r="D18" s="568">
        <f>C8/C3</f>
        <v>0.52867874435667972</v>
      </c>
      <c r="G18" s="568">
        <f>F8/F3</f>
        <v>0.70186658877655916</v>
      </c>
    </row>
    <row r="19" spans="4:7">
      <c r="D19" s="568">
        <f>C9/C3</f>
        <v>0.29054157334103969</v>
      </c>
      <c r="G19" s="568">
        <f>F9/F3</f>
        <v>0.34916859959166607</v>
      </c>
    </row>
    <row r="20" spans="4:7">
      <c r="D20" s="568">
        <f>C10/C4</f>
        <v>0.17821238578414356</v>
      </c>
      <c r="G20" s="568">
        <f>F10/F4</f>
        <v>4.4803962676911141E-2</v>
      </c>
    </row>
    <row r="21" spans="4:7">
      <c r="D21" s="568"/>
      <c r="G21" s="568"/>
    </row>
    <row r="22" spans="4:7">
      <c r="D22" s="568"/>
      <c r="G22" s="568"/>
    </row>
    <row r="23" spans="4:7">
      <c r="D23" s="568">
        <f>C12/C4</f>
        <v>0.7650866813292222</v>
      </c>
      <c r="G23" s="568">
        <f>F12/F4</f>
        <v>1.8570453776959617</v>
      </c>
    </row>
    <row r="24" spans="4:7">
      <c r="D24" s="568">
        <f>C13/C4</f>
        <v>0.16991493125785656</v>
      </c>
      <c r="G24" s="568">
        <f>F13/F4</f>
        <v>0.190634459998267</v>
      </c>
    </row>
    <row r="25" spans="4:7">
      <c r="D25" s="568">
        <f>C14/C4</f>
        <v>4.5701905801344728E-2</v>
      </c>
      <c r="G25" s="568">
        <f>F14/F4</f>
        <v>7.7956451162780258E-2</v>
      </c>
    </row>
  </sheetData>
  <phoneticPr fontId="60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24"/>
  <sheetViews>
    <sheetView topLeftCell="E31" workbookViewId="0">
      <selection sqref="A1:H26"/>
    </sheetView>
  </sheetViews>
  <sheetFormatPr defaultColWidth="8.875" defaultRowHeight="13.5"/>
  <cols>
    <col min="1" max="2" width="23.5" style="543" customWidth="1"/>
    <col min="3" max="3" width="12.875" style="543" customWidth="1"/>
    <col min="4" max="4" width="11.75" style="543" customWidth="1"/>
    <col min="5" max="5" width="10.5" style="543" customWidth="1"/>
    <col min="6" max="6" width="10.625" style="543" customWidth="1"/>
    <col min="7" max="7" width="11" style="543" customWidth="1"/>
    <col min="8" max="8" width="9.875" style="543" customWidth="1"/>
    <col min="9" max="16384" width="8.875" style="543"/>
  </cols>
  <sheetData>
    <row r="1" spans="1:8" s="587" customFormat="1" ht="40.5">
      <c r="C1" s="587" t="str">
        <f>'WTP&amp;WTW'!AF1</f>
        <v>WTW fossil energy use</v>
      </c>
      <c r="D1" s="587" t="str">
        <f>'WTP&amp;WTW'!AG1</f>
        <v>Upper limit of error</v>
      </c>
      <c r="E1" s="587" t="str">
        <f>'WTP&amp;WTW'!AH1</f>
        <v>Lower limit of error</v>
      </c>
      <c r="F1" s="587" t="str">
        <f>'WTP&amp;WTW'!AI1</f>
        <v>WTW GHG emission</v>
      </c>
      <c r="G1" s="587" t="str">
        <f>'WTP&amp;WTW'!AJ1</f>
        <v>Upper limit of error</v>
      </c>
      <c r="H1" s="587" t="str">
        <f>'WTP&amp;WTW'!AK1</f>
        <v>Lower limit of error</v>
      </c>
    </row>
    <row r="2" spans="1:8">
      <c r="C2" s="543" t="str">
        <f>'WTP&amp;WTW'!AF2</f>
        <v>(MJ/km)</v>
      </c>
      <c r="F2" s="543" t="str">
        <f>'WTP&amp;WTW'!AI2</f>
        <v>(g CO2e/km)</v>
      </c>
    </row>
    <row r="3" spans="1:8">
      <c r="A3" s="543" t="str">
        <f>'WTP&amp;WTW'!A3</f>
        <v>SI ICE-Gasoline (8L/100km)</v>
      </c>
      <c r="B3" s="543" t="str">
        <f>total!C38</f>
        <v>汽油车</v>
      </c>
      <c r="C3" s="568">
        <f>'WTP&amp;WTW'!AF3</f>
        <v>3.2156682733811834</v>
      </c>
      <c r="D3" s="568">
        <f>'WTP&amp;WTW'!AG3</f>
        <v>0.16924569859900968</v>
      </c>
      <c r="E3" s="568">
        <f>'WTP&amp;WTW'!AH3</f>
        <v>0.16924569859900968</v>
      </c>
      <c r="F3" s="568">
        <f>'WTP&amp;WTW'!AI3</f>
        <v>228.3475890415595</v>
      </c>
      <c r="G3" s="568">
        <f>'WTP&amp;WTW'!AJ3</f>
        <v>12.01829416008208</v>
      </c>
      <c r="H3" s="568">
        <f>'WTP&amp;WTW'!AK3</f>
        <v>12.01829416008208</v>
      </c>
    </row>
    <row r="4" spans="1:8">
      <c r="A4" s="543" t="str">
        <f>'WTP&amp;WTW'!A9</f>
        <v>CI ICE-Diesel</v>
      </c>
      <c r="B4" s="543" t="str">
        <f>total!C39</f>
        <v>柴油车</v>
      </c>
      <c r="C4" s="568">
        <f>'WTP&amp;WTW'!AF9</f>
        <v>2.9027633718048311</v>
      </c>
      <c r="D4" s="568">
        <f>'WTP&amp;WTW'!AG9</f>
        <v>0.15277701956867534</v>
      </c>
      <c r="E4" s="568">
        <f>'WTP&amp;WTW'!AH9</f>
        <v>0.15277701956867534</v>
      </c>
      <c r="F4" s="568">
        <f>'WTP&amp;WTW'!AI9</f>
        <v>212.42442797807749</v>
      </c>
      <c r="G4" s="568">
        <f>'WTP&amp;WTW'!AJ9</f>
        <v>11.180233051477764</v>
      </c>
      <c r="H4" s="568">
        <f>'WTP&amp;WTW'!AK9</f>
        <v>11.180233051477764</v>
      </c>
    </row>
    <row r="5" spans="1:8">
      <c r="C5" s="568"/>
      <c r="D5" s="568"/>
      <c r="E5" s="568"/>
      <c r="F5" s="568"/>
      <c r="G5" s="568"/>
      <c r="H5" s="568"/>
    </row>
    <row r="6" spans="1:8">
      <c r="A6" s="543" t="str">
        <f>'WTP&amp;WTW'!A18</f>
        <v>SI ICE-Methanol from coal</v>
      </c>
      <c r="B6" s="543" t="str">
        <f>total!C50</f>
        <v>甲醇（煤基）汽车</v>
      </c>
      <c r="C6" s="568">
        <f>'WTP&amp;WTW'!AF18</f>
        <v>5.2369749529880938</v>
      </c>
      <c r="D6" s="568">
        <f>'WTP&amp;WTW'!AG18</f>
        <v>0.92417205052731077</v>
      </c>
      <c r="E6" s="568">
        <f>'WTP&amp;WTW'!AH18</f>
        <v>1.3092437382470234</v>
      </c>
      <c r="F6" s="568">
        <f>'WTP&amp;WTW'!AI18</f>
        <v>610.42389531027345</v>
      </c>
      <c r="G6" s="568">
        <f>'WTP&amp;WTW'!AJ18</f>
        <v>107.72186387828356</v>
      </c>
      <c r="H6" s="568">
        <f>'WTP&amp;WTW'!AK18</f>
        <v>152.60597382756836</v>
      </c>
    </row>
    <row r="7" spans="1:8">
      <c r="A7" s="543" t="str">
        <f>'WTP&amp;WTW'!A19</f>
        <v>SI ICE-DME from coal</v>
      </c>
      <c r="B7" s="543" t="str">
        <f>total!C51</f>
        <v>DME（煤基）汽车</v>
      </c>
      <c r="C7" s="568">
        <f>'WTP&amp;WTW'!AF19</f>
        <v>5.3881571902773313</v>
      </c>
      <c r="D7" s="568">
        <f>'WTP&amp;WTW'!AG19</f>
        <v>0.95085126887247029</v>
      </c>
      <c r="E7" s="568">
        <f>'WTP&amp;WTW'!AH19</f>
        <v>1.3470392975693328</v>
      </c>
      <c r="F7" s="568">
        <f>'WTP&amp;WTW'!AI19</f>
        <v>627.62763636363627</v>
      </c>
      <c r="G7" s="568">
        <f>'WTP&amp;WTW'!AJ19</f>
        <v>110.75781818181817</v>
      </c>
      <c r="H7" s="568">
        <f>'WTP&amp;WTW'!AK19</f>
        <v>156.90690909090907</v>
      </c>
    </row>
    <row r="8" spans="1:8">
      <c r="A8" s="543" t="str">
        <f>'WTP&amp;WTW'!A20</f>
        <v>CI ICE-CTL</v>
      </c>
      <c r="B8" s="543" t="str">
        <f>total!C52</f>
        <v>CTL（煤基）汽车</v>
      </c>
      <c r="C8" s="568">
        <f>'WTP&amp;WTW'!AF20</f>
        <v>6.1547967354492181</v>
      </c>
      <c r="D8" s="568">
        <f>'WTP&amp;WTW'!AG20</f>
        <v>0.6838663039388021</v>
      </c>
      <c r="E8" s="568">
        <f>'WTP&amp;WTW'!AH20</f>
        <v>1.0861406003733913</v>
      </c>
      <c r="F8" s="568">
        <f>'WTP&amp;WTW'!AI20</f>
        <v>463.08120817175916</v>
      </c>
      <c r="G8" s="568">
        <f>'WTP&amp;WTW'!AJ20</f>
        <v>51.453467574639909</v>
      </c>
      <c r="H8" s="568">
        <f>'WTP&amp;WTW'!AK20</f>
        <v>81.720213206781025</v>
      </c>
    </row>
    <row r="9" spans="1:8">
      <c r="A9" s="543" t="str">
        <f>'WTP&amp;WTW'!A21</f>
        <v>CI ICE-ICTL</v>
      </c>
      <c r="B9" s="543" t="str">
        <f>total!C53</f>
        <v>ICTL（煤基）汽车</v>
      </c>
      <c r="C9" s="568">
        <f>'WTP&amp;WTW'!AF21</f>
        <v>6.1718098415346114</v>
      </c>
      <c r="D9" s="568">
        <f>'WTP&amp;WTW'!AG21</f>
        <v>0.68575664905940137</v>
      </c>
      <c r="E9" s="568">
        <f>'WTP&amp;WTW'!AH21</f>
        <v>1.0891429132119901</v>
      </c>
      <c r="F9" s="568">
        <f>'WTP&amp;WTW'!AI21</f>
        <v>663.53781818181824</v>
      </c>
      <c r="G9" s="568">
        <f>'WTP&amp;WTW'!AJ21</f>
        <v>73.726424242424258</v>
      </c>
      <c r="H9" s="568">
        <f>'WTP&amp;WTW'!AK21</f>
        <v>117.0949090909091</v>
      </c>
    </row>
    <row r="10" spans="1:8">
      <c r="C10" s="568"/>
      <c r="D10" s="568"/>
      <c r="E10" s="568"/>
      <c r="F10" s="568"/>
      <c r="G10" s="568"/>
      <c r="H10" s="568"/>
    </row>
    <row r="11" spans="1:8">
      <c r="A11" s="543" t="str">
        <f>'WTP&amp;WTW'!A23</f>
        <v>SI ICE-Methanol from coal (CCS)</v>
      </c>
      <c r="B11" s="543" t="str">
        <f>total!C55</f>
        <v>甲醇（煤基+CCS）汽车</v>
      </c>
      <c r="C11" s="568">
        <f>'WTP&amp;WTW'!AF23</f>
        <v>6.6611947702313152</v>
      </c>
      <c r="D11" s="568">
        <f>'WTP&amp;WTW'!AG23</f>
        <v>1.6652986925578288</v>
      </c>
      <c r="E11" s="568">
        <f>'WTP&amp;WTW'!AH23</f>
        <v>2.2203982567437719</v>
      </c>
      <c r="F11" s="568">
        <f>'WTP&amp;WTW'!AI23</f>
        <v>403.50054096780781</v>
      </c>
      <c r="G11" s="568">
        <f>'WTP&amp;WTW'!AJ23</f>
        <v>100.87513524195195</v>
      </c>
      <c r="H11" s="568">
        <f>'WTP&amp;WTW'!AK23</f>
        <v>134.5001803226026</v>
      </c>
    </row>
    <row r="12" spans="1:8">
      <c r="A12" s="543" t="str">
        <f>'WTP&amp;WTW'!A24</f>
        <v>SI ICE-DME from coal (CCS)</v>
      </c>
      <c r="B12" s="543" t="str">
        <f>total!C56</f>
        <v>DME（煤基+CCS）汽车</v>
      </c>
      <c r="C12" s="568">
        <f>'WTP&amp;WTW'!AF24</f>
        <v>6.535064935064935</v>
      </c>
      <c r="D12" s="568">
        <f>'WTP&amp;WTW'!AG24</f>
        <v>1.6337662337662338</v>
      </c>
      <c r="E12" s="568">
        <f>'WTP&amp;WTW'!AH24</f>
        <v>2.1783549783549785</v>
      </c>
      <c r="F12" s="568">
        <f>'WTP&amp;WTW'!AI24</f>
        <v>445.56072727272726</v>
      </c>
      <c r="G12" s="568">
        <f>'WTP&amp;WTW'!AJ24</f>
        <v>111.39018181818182</v>
      </c>
      <c r="H12" s="568">
        <f>'WTP&amp;WTW'!AK24</f>
        <v>148.52024242424241</v>
      </c>
    </row>
    <row r="13" spans="1:8">
      <c r="A13" s="543" t="str">
        <f>'WTP&amp;WTW'!A25</f>
        <v>CI ICE-CTL(CCS)</v>
      </c>
      <c r="B13" s="543" t="str">
        <f>total!C57</f>
        <v>CTL（煤基+CCS）汽车</v>
      </c>
      <c r="C13" s="568">
        <f>'WTP&amp;WTW'!AF25</f>
        <v>7.5842032146818168</v>
      </c>
      <c r="D13" s="568">
        <f>'WTP&amp;WTW'!AG25</f>
        <v>1.3383888025909092</v>
      </c>
      <c r="E13" s="568">
        <f>'WTP&amp;WTW'!AH25</f>
        <v>1.8960508036704542</v>
      </c>
      <c r="F13" s="568">
        <f>'WTP&amp;WTW'!AI25</f>
        <v>342.65654524270894</v>
      </c>
      <c r="G13" s="568">
        <f>'WTP&amp;WTW'!AJ25</f>
        <v>60.468802101654532</v>
      </c>
      <c r="H13" s="568">
        <f>'WTP&amp;WTW'!AK25</f>
        <v>85.664136310677222</v>
      </c>
    </row>
    <row r="14" spans="1:8">
      <c r="A14" s="543" t="str">
        <f>'WTP&amp;WTW'!A26</f>
        <v>CI ICE-ICTL(CCS)</v>
      </c>
      <c r="B14" s="543" t="str">
        <f>total!C58</f>
        <v>ICTL（煤基+CCS）汽车</v>
      </c>
      <c r="C14" s="568">
        <f>'WTP&amp;WTW'!AF26</f>
        <v>6.8810852204354003</v>
      </c>
      <c r="D14" s="568">
        <f>'WTP&amp;WTW'!AG26</f>
        <v>1.2143091565474238</v>
      </c>
      <c r="E14" s="568">
        <f>'WTP&amp;WTW'!AH26</f>
        <v>1.7202713051088503</v>
      </c>
      <c r="F14" s="568">
        <f>'WTP&amp;WTW'!AI26</f>
        <v>574.79163636363637</v>
      </c>
      <c r="G14" s="568">
        <f>'WTP&amp;WTW'!AJ26</f>
        <v>101.43381818181821</v>
      </c>
      <c r="H14" s="568">
        <f>'WTP&amp;WTW'!AK26</f>
        <v>143.69790909090909</v>
      </c>
    </row>
    <row r="16" spans="1:8">
      <c r="D16" s="568">
        <f>C6/C3</f>
        <v>1.6285805959336608</v>
      </c>
      <c r="E16" s="568"/>
      <c r="F16" s="568"/>
      <c r="G16" s="568">
        <f>F6/F3</f>
        <v>2.6732224232031445</v>
      </c>
    </row>
    <row r="17" spans="4:7">
      <c r="D17" s="568">
        <f>C7/C4</f>
        <v>1.8562164737965445</v>
      </c>
      <c r="E17" s="568"/>
      <c r="F17" s="568"/>
      <c r="G17" s="568">
        <f>F7/F4</f>
        <v>2.9545925689318948</v>
      </c>
    </row>
    <row r="18" spans="4:7">
      <c r="D18" s="568">
        <f>C8/C4</f>
        <v>2.1203232737577205</v>
      </c>
      <c r="E18" s="568"/>
      <c r="F18" s="568"/>
      <c r="G18" s="568">
        <f>F8/F4</f>
        <v>2.1799809587791374</v>
      </c>
    </row>
    <row r="19" spans="4:7">
      <c r="D19" s="568">
        <f>C9/C4</f>
        <v>2.1261842771900517</v>
      </c>
      <c r="E19" s="568"/>
      <c r="F19" s="568"/>
      <c r="G19" s="568">
        <f>F9/F4</f>
        <v>3.1236417793263227</v>
      </c>
    </row>
    <row r="20" spans="4:7">
      <c r="D20" s="568"/>
      <c r="E20" s="568"/>
      <c r="F20" s="568"/>
      <c r="G20" s="568"/>
    </row>
    <row r="21" spans="4:7">
      <c r="D21" s="568">
        <f>C11/C3</f>
        <v>2.0714807013433818</v>
      </c>
      <c r="E21" s="568"/>
      <c r="F21" s="568"/>
      <c r="G21" s="568">
        <f>F11/F3</f>
        <v>1.7670453305919087</v>
      </c>
    </row>
    <row r="22" spans="4:7">
      <c r="D22" s="568">
        <f>C12/C4</f>
        <v>2.2513254089332375</v>
      </c>
      <c r="E22" s="568"/>
      <c r="F22" s="568"/>
      <c r="G22" s="568">
        <f>F12/F4</f>
        <v>2.0975023047665204</v>
      </c>
    </row>
    <row r="23" spans="4:7">
      <c r="D23" s="568">
        <f>C13/C4</f>
        <v>2.6127528300614595</v>
      </c>
      <c r="E23" s="568"/>
      <c r="F23" s="568"/>
      <c r="G23" s="568">
        <f>F13/F4</f>
        <v>1.6130750521690076</v>
      </c>
    </row>
    <row r="24" spans="4:7">
      <c r="D24" s="568">
        <f>C14/C4</f>
        <v>2.3705291610307855</v>
      </c>
      <c r="E24" s="568"/>
      <c r="F24" s="568"/>
      <c r="G24" s="568">
        <f>F14/F4</f>
        <v>2.7058641128738534</v>
      </c>
    </row>
  </sheetData>
  <phoneticPr fontId="60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14"/>
  <sheetViews>
    <sheetView topLeftCell="G28" workbookViewId="0">
      <selection sqref="A1:H26"/>
    </sheetView>
  </sheetViews>
  <sheetFormatPr defaultColWidth="8.875" defaultRowHeight="13.5"/>
  <cols>
    <col min="1" max="2" width="23.75" style="543" customWidth="1"/>
    <col min="3" max="3" width="9.75" style="543" customWidth="1"/>
    <col min="4" max="16384" width="8.875" style="543"/>
  </cols>
  <sheetData>
    <row r="1" spans="1:8" s="587" customFormat="1" ht="51" customHeight="1">
      <c r="C1" s="587" t="str">
        <f>'WTP&amp;WTW'!AF1</f>
        <v>WTW fossil energy use</v>
      </c>
      <c r="D1" s="587" t="str">
        <f>'WTP&amp;WTW'!AG1</f>
        <v>Upper limit of error</v>
      </c>
      <c r="E1" s="587" t="str">
        <f>'WTP&amp;WTW'!AH1</f>
        <v>Lower limit of error</v>
      </c>
      <c r="F1" s="587" t="str">
        <f>'WTP&amp;WTW'!AI1</f>
        <v>WTW GHG emission</v>
      </c>
      <c r="G1" s="587" t="str">
        <f>'WTP&amp;WTW'!AJ1</f>
        <v>Upper limit of error</v>
      </c>
      <c r="H1" s="587" t="str">
        <f>'WTP&amp;WTW'!AK1</f>
        <v>Lower limit of error</v>
      </c>
    </row>
    <row r="2" spans="1:8">
      <c r="C2" s="543" t="str">
        <f>'WTP&amp;WTW'!AF2</f>
        <v>(MJ/km)</v>
      </c>
      <c r="F2" s="543" t="str">
        <f>'WTP&amp;WTW'!AI2</f>
        <v>(g CO2e/km)</v>
      </c>
    </row>
    <row r="3" spans="1:8">
      <c r="A3" s="543" t="str">
        <f>'WTP&amp;WTW'!A3</f>
        <v>SI ICE-Gasoline (8L/100km)</v>
      </c>
      <c r="B3" s="543" t="str">
        <f>total!C38</f>
        <v>汽油车</v>
      </c>
      <c r="C3" s="568">
        <f>'WTP&amp;WTW'!AF3</f>
        <v>3.2156682733811834</v>
      </c>
      <c r="D3" s="568">
        <f>'WTP&amp;WTW'!AG3</f>
        <v>0.16924569859900968</v>
      </c>
      <c r="E3" s="568">
        <f>'WTP&amp;WTW'!AH3</f>
        <v>0.16924569859900968</v>
      </c>
      <c r="F3" s="568">
        <f>'WTP&amp;WTW'!AI3</f>
        <v>228.3475890415595</v>
      </c>
      <c r="G3" s="568">
        <f>'WTP&amp;WTW'!AJ3</f>
        <v>12.01829416008208</v>
      </c>
      <c r="H3" s="568">
        <f>'WTP&amp;WTW'!AK3</f>
        <v>12.01829416008208</v>
      </c>
    </row>
    <row r="4" spans="1:8">
      <c r="A4" s="543" t="str">
        <f>'WTP&amp;WTW'!A9</f>
        <v>CI ICE-Diesel</v>
      </c>
      <c r="B4" s="543" t="str">
        <f>total!C39</f>
        <v>柴油车</v>
      </c>
      <c r="C4" s="568">
        <f>'WTP&amp;WTW'!AF9</f>
        <v>2.9027633718048311</v>
      </c>
      <c r="D4" s="568">
        <f>'WTP&amp;WTW'!AG9</f>
        <v>0.15277701956867534</v>
      </c>
      <c r="E4" s="568">
        <f>'WTP&amp;WTW'!AH9</f>
        <v>0.15277701956867534</v>
      </c>
      <c r="F4" s="568">
        <f>'WTP&amp;WTW'!AI9</f>
        <v>212.42442797807749</v>
      </c>
      <c r="G4" s="568">
        <f>'WTP&amp;WTW'!AJ9</f>
        <v>11.180233051477764</v>
      </c>
      <c r="H4" s="568">
        <f>'WTP&amp;WTW'!AK9</f>
        <v>11.180233051477764</v>
      </c>
    </row>
    <row r="5" spans="1:8">
      <c r="C5" s="568"/>
      <c r="D5" s="568"/>
      <c r="E5" s="568"/>
      <c r="F5" s="568"/>
      <c r="G5" s="568"/>
      <c r="H5" s="568"/>
    </row>
    <row r="6" spans="1:8">
      <c r="A6" s="543" t="str">
        <f>'WTP&amp;WTW'!A39</f>
        <v>BEV-Grid power (20.3KWh/100km)</v>
      </c>
      <c r="B6" s="543" t="str">
        <f>total!C61</f>
        <v>纯电动汽车（网电）</v>
      </c>
      <c r="C6" s="568">
        <f>'WTP&amp;WTW'!AF39</f>
        <v>1.8318354637463474</v>
      </c>
      <c r="D6" s="568">
        <f>'WTP&amp;WTW'!AG39</f>
        <v>0.20353727374959418</v>
      </c>
      <c r="E6" s="568">
        <f>'WTP&amp;WTW'!AH39</f>
        <v>0.20353727374959416</v>
      </c>
      <c r="F6" s="568">
        <f>'WTP&amp;WTW'!AI39</f>
        <v>162.05898095743058</v>
      </c>
      <c r="G6" s="568">
        <f>'WTP&amp;WTW'!AJ39</f>
        <v>18.006553439714509</v>
      </c>
      <c r="H6" s="568">
        <f>'WTP&amp;WTW'!AK39</f>
        <v>18.006553439714509</v>
      </c>
    </row>
    <row r="7" spans="1:8">
      <c r="C7" s="568"/>
      <c r="D7" s="568"/>
      <c r="E7" s="568"/>
      <c r="F7" s="568"/>
      <c r="G7" s="568"/>
      <c r="H7" s="568"/>
    </row>
    <row r="8" spans="1:8">
      <c r="A8" s="543" t="str">
        <f>'WTP&amp;WTW'!A44</f>
        <v>BEV-Coal power</v>
      </c>
      <c r="B8" s="543" t="str">
        <f>total!C63</f>
        <v>纯电动汽车（煤电）</v>
      </c>
      <c r="C8" s="568">
        <f>'WTP&amp;WTW'!AF44</f>
        <v>2.2901099542227317</v>
      </c>
      <c r="D8" s="568">
        <f>'WTP&amp;WTW'!AG44</f>
        <v>0.25445666158030356</v>
      </c>
      <c r="E8" s="568">
        <f>'WTP&amp;WTW'!AH44</f>
        <v>0.25445666158030356</v>
      </c>
      <c r="F8" s="568">
        <f>'WTP&amp;WTW'!AI44</f>
        <v>208.15086900056673</v>
      </c>
      <c r="G8" s="568">
        <f>'WTP&amp;WTW'!AJ44</f>
        <v>23.127874333396306</v>
      </c>
      <c r="H8" s="568">
        <f>'WTP&amp;WTW'!AK44</f>
        <v>23.127874333396303</v>
      </c>
    </row>
    <row r="9" spans="1:8">
      <c r="A9" s="543" t="str">
        <f>'WTP&amp;WTW'!A45</f>
        <v>BEV-Oil power</v>
      </c>
      <c r="B9" s="543" t="str">
        <f>total!C64</f>
        <v>纯电动汽车（油电）</v>
      </c>
      <c r="C9" s="568">
        <f>'WTP&amp;WTW'!AF45</f>
        <v>2.9467721559962441</v>
      </c>
      <c r="D9" s="568">
        <f>'WTP&amp;WTW'!AG45</f>
        <v>0.32741912844402715</v>
      </c>
      <c r="E9" s="568">
        <f>'WTP&amp;WTW'!AH45</f>
        <v>0.3274191284440271</v>
      </c>
      <c r="F9" s="568">
        <f>'WTP&amp;WTW'!AI45</f>
        <v>223.31665737085774</v>
      </c>
      <c r="G9" s="568">
        <f>'WTP&amp;WTW'!AJ45</f>
        <v>24.812961930095305</v>
      </c>
      <c r="H9" s="568">
        <f>'WTP&amp;WTW'!AK45</f>
        <v>24.812961930095305</v>
      </c>
    </row>
    <row r="10" spans="1:8">
      <c r="A10" s="543" t="str">
        <f>'WTP&amp;WTW'!A46</f>
        <v>BEV-Gas power</v>
      </c>
      <c r="B10" s="543" t="str">
        <f>total!C65</f>
        <v>纯电动汽车（气电）</v>
      </c>
      <c r="C10" s="568">
        <f>'WTP&amp;WTW'!AF46</f>
        <v>1.8885006165580507</v>
      </c>
      <c r="D10" s="568">
        <f>'WTP&amp;WTW'!AG46</f>
        <v>0.20983340183978341</v>
      </c>
      <c r="E10" s="568">
        <f>'WTP&amp;WTW'!AH46</f>
        <v>0.20983340183978344</v>
      </c>
      <c r="F10" s="568">
        <f>'WTP&amp;WTW'!AI46</f>
        <v>112.46805213474198</v>
      </c>
      <c r="G10" s="568">
        <f>'WTP&amp;WTW'!AJ46</f>
        <v>12.496450237193555</v>
      </c>
      <c r="H10" s="568">
        <f>'WTP&amp;WTW'!AK46</f>
        <v>12.496450237193553</v>
      </c>
    </row>
    <row r="11" spans="1:8">
      <c r="A11" s="543" t="str">
        <f>'WTP&amp;WTW'!A47</f>
        <v>BEV-Nuclear power</v>
      </c>
      <c r="B11" s="543" t="str">
        <f>total!C66</f>
        <v>纯电动汽车（核电）</v>
      </c>
      <c r="C11" s="568">
        <f>'WTP&amp;WTW'!AF47</f>
        <v>4.5288000000000002E-2</v>
      </c>
      <c r="D11" s="568">
        <f>'WTP&amp;WTW'!AG47</f>
        <v>5.0320000000000009E-3</v>
      </c>
      <c r="E11" s="568">
        <f>'WTP&amp;WTW'!AH47</f>
        <v>5.032E-3</v>
      </c>
      <c r="F11" s="568">
        <f>'WTP&amp;WTW'!AI47</f>
        <v>4.6725714285714286</v>
      </c>
      <c r="G11" s="568">
        <f>'WTP&amp;WTW'!AJ47</f>
        <v>0.51917460317460318</v>
      </c>
      <c r="H11" s="568">
        <f>'WTP&amp;WTW'!AK47</f>
        <v>0.51917460317460318</v>
      </c>
    </row>
    <row r="12" spans="1:8">
      <c r="A12" s="543" t="str">
        <f>'WTP&amp;WTW'!A48</f>
        <v>BEV-Large Hydro power</v>
      </c>
      <c r="B12" s="543" t="str">
        <f>total!C67</f>
        <v>纯电动汽车（大水电）</v>
      </c>
      <c r="C12" s="568">
        <f>'WTP&amp;WTW'!AF48</f>
        <v>0</v>
      </c>
      <c r="D12" s="568">
        <f>'WTP&amp;WTW'!AG48</f>
        <v>0</v>
      </c>
      <c r="E12" s="568">
        <f>'WTP&amp;WTW'!AH48</f>
        <v>0</v>
      </c>
      <c r="F12" s="568">
        <f>'WTP&amp;WTW'!AI48</f>
        <v>3.5942857142857143</v>
      </c>
      <c r="G12" s="568">
        <f>'WTP&amp;WTW'!AJ48</f>
        <v>0</v>
      </c>
      <c r="H12" s="568">
        <f>'WTP&amp;WTW'!AK48</f>
        <v>0</v>
      </c>
    </row>
    <row r="13" spans="1:8">
      <c r="A13" s="543" t="str">
        <f>'WTP&amp;WTW'!A49</f>
        <v>BEV-Biopower</v>
      </c>
      <c r="B13" s="543" t="str">
        <f>total!C68</f>
        <v>纯电动汽车（生物质电）</v>
      </c>
      <c r="C13" s="568">
        <f>'WTP&amp;WTW'!AF49</f>
        <v>5.4633142857142859E-2</v>
      </c>
      <c r="D13" s="568">
        <f>'WTP&amp;WTW'!AG49</f>
        <v>6.0703492063492069E-3</v>
      </c>
      <c r="E13" s="568">
        <f>'WTP&amp;WTW'!AH49</f>
        <v>6.070349206349206E-3</v>
      </c>
      <c r="F13" s="568">
        <f>'WTP&amp;WTW'!AI49</f>
        <v>4.1693714285714281</v>
      </c>
      <c r="G13" s="568">
        <f>'WTP&amp;WTW'!AJ49</f>
        <v>0.46326349206349204</v>
      </c>
      <c r="H13" s="568">
        <f>'WTP&amp;WTW'!AK49</f>
        <v>0.46326349206349204</v>
      </c>
    </row>
    <row r="14" spans="1:8">
      <c r="A14" s="543" t="str">
        <f>'WTP&amp;WTW'!A51</f>
        <v>BEV-Coal power(IGCC+CCS)</v>
      </c>
      <c r="B14" s="543" t="str">
        <f>total!C69</f>
        <v>纯电动汽车（煤电IGCC+CCS）</v>
      </c>
      <c r="C14" s="568">
        <f>'WTP&amp;WTW'!AF51</f>
        <v>2.5645028374065189</v>
      </c>
      <c r="D14" s="568">
        <f>'WTP&amp;WTW'!AG51</f>
        <v>0.45255932424820922</v>
      </c>
      <c r="E14" s="568">
        <f>'WTP&amp;WTW'!AH51</f>
        <v>0.45255932424820922</v>
      </c>
      <c r="F14" s="568">
        <f>'WTP&amp;WTW'!AI51</f>
        <v>67.649635642902126</v>
      </c>
      <c r="G14" s="568">
        <f>'WTP&amp;WTW'!AJ51</f>
        <v>11.938170995806258</v>
      </c>
      <c r="H14" s="568">
        <f>'WTP&amp;WTW'!AK51</f>
        <v>11.938170995806258</v>
      </c>
    </row>
  </sheetData>
  <phoneticPr fontId="60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83"/>
  <sheetViews>
    <sheetView topLeftCell="I67" workbookViewId="0">
      <selection sqref="A1:H26"/>
    </sheetView>
  </sheetViews>
  <sheetFormatPr defaultColWidth="8.875" defaultRowHeight="13.5"/>
  <cols>
    <col min="1" max="1" width="8.875" style="543"/>
    <col min="2" max="2" width="24.25" style="543" customWidth="1"/>
    <col min="3" max="3" width="19.625" style="543" customWidth="1"/>
    <col min="4" max="5" width="10.5" style="543" customWidth="1"/>
    <col min="6" max="6" width="12.125" style="543" customWidth="1"/>
    <col min="7" max="7" width="11.75" style="543" customWidth="1"/>
    <col min="8" max="9" width="11" style="543" customWidth="1"/>
    <col min="10" max="16384" width="8.875" style="543"/>
  </cols>
  <sheetData>
    <row r="1" spans="1:9">
      <c r="A1" s="494" t="s">
        <v>770</v>
      </c>
    </row>
    <row r="2" spans="1:9">
      <c r="A2" s="494" t="s">
        <v>771</v>
      </c>
    </row>
    <row r="4" spans="1:9">
      <c r="A4" s="543" t="s">
        <v>770</v>
      </c>
      <c r="E4" s="568"/>
      <c r="H4" s="568"/>
    </row>
    <row r="5" spans="1:9">
      <c r="C5" s="559"/>
      <c r="D5" s="566" t="str">
        <f>'NG-based (2)'!C1</f>
        <v>WTW fossil energy use</v>
      </c>
      <c r="E5" s="566" t="str">
        <f>'NG-based (2)'!D1</f>
        <v>Upper limit of error</v>
      </c>
      <c r="F5" s="566" t="str">
        <f>'NG-based (2)'!E1</f>
        <v>Lower limit of error</v>
      </c>
      <c r="G5" s="566" t="str">
        <f>'NG-based (2)'!F1</f>
        <v>WTW GHG emission</v>
      </c>
      <c r="H5" s="566" t="str">
        <f>'NG-based (2)'!G1</f>
        <v>Upper limit of error</v>
      </c>
      <c r="I5" s="558" t="str">
        <f>'NG-based (2)'!H1</f>
        <v>Lower limit of error</v>
      </c>
    </row>
    <row r="6" spans="1:9">
      <c r="C6" s="557"/>
      <c r="D6" s="565" t="str">
        <f>'NG-based (2)'!C2</f>
        <v>(MJ/km)</v>
      </c>
      <c r="E6" s="565"/>
      <c r="F6" s="565"/>
      <c r="G6" s="565" t="str">
        <f>'NG-based (2)'!F2</f>
        <v>(g CO2e/km)</v>
      </c>
      <c r="H6" s="565"/>
      <c r="I6" s="556"/>
    </row>
    <row r="7" spans="1:9">
      <c r="B7" s="543" t="str">
        <f>'NG-based (2)'!A3</f>
        <v>SI ICE-Gasoline (8L/100km)</v>
      </c>
      <c r="C7" s="557" t="str">
        <f>'NG-based (2)'!B3</f>
        <v>汽油车</v>
      </c>
      <c r="D7" s="600">
        <f>'NG-based (2)'!C3</f>
        <v>3.2156682733811834</v>
      </c>
      <c r="E7" s="600">
        <f>'NG-based (2)'!D3</f>
        <v>0.16924569859900968</v>
      </c>
      <c r="F7" s="600">
        <f>'NG-based (2)'!E3</f>
        <v>0.16924569859900968</v>
      </c>
      <c r="G7" s="600">
        <f>'NG-based (2)'!F3</f>
        <v>228.3475890415595</v>
      </c>
      <c r="H7" s="600">
        <f>'NG-based (2)'!G3</f>
        <v>12.01829416008208</v>
      </c>
      <c r="I7" s="599">
        <f>'NG-based (2)'!H3</f>
        <v>12.01829416008208</v>
      </c>
    </row>
    <row r="8" spans="1:9">
      <c r="B8" s="543" t="str">
        <f>'NG-based (2)'!A4</f>
        <v>CI ICE-Diesel</v>
      </c>
      <c r="C8" s="557" t="str">
        <f>'NG-based (2)'!B4</f>
        <v>柴油车</v>
      </c>
      <c r="D8" s="600">
        <f>'NG-based (2)'!C4</f>
        <v>2.9027633718048311</v>
      </c>
      <c r="E8" s="600">
        <f>'NG-based (2)'!D4</f>
        <v>0.15277701956867534</v>
      </c>
      <c r="F8" s="600">
        <f>'NG-based (2)'!E4</f>
        <v>0.15277701956867534</v>
      </c>
      <c r="G8" s="600">
        <f>'NG-based (2)'!F4</f>
        <v>212.42442797807749</v>
      </c>
      <c r="H8" s="600">
        <f>'NG-based (2)'!G4</f>
        <v>11.180233051477764</v>
      </c>
      <c r="I8" s="599">
        <f>'NG-based (2)'!H4</f>
        <v>11.180233051477764</v>
      </c>
    </row>
    <row r="9" spans="1:9">
      <c r="C9" s="557"/>
      <c r="D9" s="565"/>
      <c r="E9" s="565"/>
      <c r="F9" s="565"/>
      <c r="G9" s="565"/>
      <c r="H9" s="565"/>
      <c r="I9" s="556"/>
    </row>
    <row r="10" spans="1:9">
      <c r="B10" s="543" t="str">
        <f>'NG-based (2)'!A6</f>
        <v>SI ICE-LPG</v>
      </c>
      <c r="C10" s="557" t="str">
        <f>'NG-based (2)'!B6</f>
        <v>LPG车</v>
      </c>
      <c r="D10" s="600">
        <f>'NG-based (2)'!C6</f>
        <v>3.1912734652460677</v>
      </c>
      <c r="E10" s="600">
        <f>'NG-based (2)'!D6</f>
        <v>0.16796176132874041</v>
      </c>
      <c r="F10" s="600">
        <f>'NG-based (2)'!E6</f>
        <v>0.16796176132874041</v>
      </c>
      <c r="G10" s="600">
        <f>'NG-based (2)'!F6</f>
        <v>227.69800000000001</v>
      </c>
      <c r="H10" s="600">
        <f>'NG-based (2)'!G6</f>
        <v>11.984105263157897</v>
      </c>
      <c r="I10" s="599">
        <f>'NG-based (2)'!H6</f>
        <v>11.984105263157897</v>
      </c>
    </row>
    <row r="11" spans="1:9">
      <c r="B11" s="543" t="str">
        <f>'NG-based (2)'!A7</f>
        <v>SI ICE-CNG</v>
      </c>
      <c r="C11" s="557" t="str">
        <f>'NG-based (2)'!B7</f>
        <v>CNG车</v>
      </c>
      <c r="D11" s="600">
        <f>'NG-based (2)'!C7</f>
        <v>3.1692047482289221</v>
      </c>
      <c r="E11" s="600">
        <f>'NG-based (2)'!D7</f>
        <v>0.35213386091432469</v>
      </c>
      <c r="F11" s="600">
        <f>'NG-based (2)'!E7</f>
        <v>0.35213386091432469</v>
      </c>
      <c r="G11" s="600">
        <f>'NG-based (2)'!F7</f>
        <v>193.68334891134745</v>
      </c>
      <c r="H11" s="600">
        <f>'NG-based (2)'!G7</f>
        <v>21.520372101260829</v>
      </c>
      <c r="I11" s="599">
        <f>'NG-based (2)'!H7</f>
        <v>21.520372101260829</v>
      </c>
    </row>
    <row r="12" spans="1:9">
      <c r="B12" s="543" t="str">
        <f>'NG-based (2)'!A8</f>
        <v>SI ICE-LNG1</v>
      </c>
      <c r="C12" s="557" t="str">
        <f>'NG-based (2)'!B8</f>
        <v>LNG车(海外进口)</v>
      </c>
      <c r="D12" s="600">
        <f>'NG-based (2)'!C8</f>
        <v>3.1809168395857159</v>
      </c>
      <c r="E12" s="600">
        <f>'NG-based (2)'!D8</f>
        <v>0.16741667576766928</v>
      </c>
      <c r="F12" s="600">
        <f>'NG-based (2)'!E8</f>
        <v>0.16741667576766925</v>
      </c>
      <c r="G12" s="600">
        <f>'NG-based (2)'!F8</f>
        <v>190.0978289995931</v>
      </c>
      <c r="H12" s="600">
        <f>'NG-based (2)'!G8</f>
        <v>10.005148894715427</v>
      </c>
      <c r="I12" s="599">
        <f>'NG-based (2)'!H8</f>
        <v>10.005148894715427</v>
      </c>
    </row>
    <row r="13" spans="1:9">
      <c r="B13" s="543" t="str">
        <f>'NG-based (2)'!A9</f>
        <v>SI ICE-LNG2</v>
      </c>
      <c r="C13" s="557" t="str">
        <f>'NG-based (2)'!B9</f>
        <v>LNG车(井口液化)</v>
      </c>
      <c r="D13" s="600">
        <f>'NG-based (2)'!C9</f>
        <v>3.1479184999428544</v>
      </c>
      <c r="E13" s="600">
        <f>'NG-based (2)'!D9</f>
        <v>0.16567992104962392</v>
      </c>
      <c r="F13" s="600">
        <f>'NG-based (2)'!E9</f>
        <v>0.16567992104962392</v>
      </c>
      <c r="G13" s="600">
        <f>'NG-based (2)'!F9</f>
        <v>195.93649715108381</v>
      </c>
      <c r="H13" s="600">
        <f>'NG-based (2)'!G9</f>
        <v>10.312447218478097</v>
      </c>
      <c r="I13" s="599">
        <f>'NG-based (2)'!H9</f>
        <v>10.312447218478097</v>
      </c>
    </row>
    <row r="14" spans="1:9">
      <c r="B14" s="543" t="str">
        <f>'NG-based (2)'!A10</f>
        <v>SI ICE-LNG3</v>
      </c>
      <c r="C14" s="557" t="str">
        <f>'NG-based (2)'!B10</f>
        <v>LNG车(管道气液化)</v>
      </c>
      <c r="D14" s="600">
        <f>'NG-based (2)'!C10</f>
        <v>3.1861157694856477</v>
      </c>
      <c r="E14" s="600">
        <f>'NG-based (2)'!D10</f>
        <v>0.16769030365713938</v>
      </c>
      <c r="F14" s="600">
        <f>'NG-based (2)'!E10</f>
        <v>0.16769030365713938</v>
      </c>
      <c r="G14" s="600">
        <f>'NG-based (2)'!F10</f>
        <v>198.46775528638267</v>
      </c>
      <c r="H14" s="600">
        <f>'NG-based (2)'!G10</f>
        <v>10.445671330862247</v>
      </c>
      <c r="I14" s="599">
        <f>'NG-based (2)'!H10</f>
        <v>10.445671330862247</v>
      </c>
    </row>
    <row r="15" spans="1:9">
      <c r="B15" s="543" t="str">
        <f>'NG-based (2)'!A11</f>
        <v>CI ICE-GTL</v>
      </c>
      <c r="C15" s="555" t="str">
        <f>'NG-based (2)'!B11</f>
        <v>GTL车</v>
      </c>
      <c r="D15" s="598">
        <f>'NG-based (2)'!C11</f>
        <v>4.8861088829297961</v>
      </c>
      <c r="E15" s="598">
        <f>'NG-based (2)'!D11</f>
        <v>0.86225450875231702</v>
      </c>
      <c r="F15" s="598">
        <f>'NG-based (2)'!E11</f>
        <v>0.86225450875231702</v>
      </c>
      <c r="G15" s="598">
        <f>'NG-based (2)'!F11</f>
        <v>328.3715364609817</v>
      </c>
      <c r="H15" s="598">
        <f>'NG-based (2)'!G11</f>
        <v>57.947918198996774</v>
      </c>
      <c r="I15" s="597">
        <f>'NG-based (2)'!H11</f>
        <v>57.947918198996767</v>
      </c>
    </row>
    <row r="17" spans="2:8">
      <c r="B17" s="559"/>
      <c r="C17" s="566"/>
      <c r="D17" s="566" t="str">
        <f>'NG-based (2)'!C13</f>
        <v>能耗</v>
      </c>
      <c r="E17" s="566" t="s">
        <v>769</v>
      </c>
      <c r="F17" s="566"/>
      <c r="G17" s="566" t="str">
        <f>'NG-based (2)'!F13</f>
        <v>排放</v>
      </c>
      <c r="H17" s="558" t="s">
        <v>768</v>
      </c>
    </row>
    <row r="18" spans="2:8">
      <c r="B18" s="557" t="str">
        <f>'NG-based (2)'!A14</f>
        <v>相对汽油车</v>
      </c>
      <c r="C18" s="565" t="str">
        <f>'NG-based (2)'!B14</f>
        <v>LPG车</v>
      </c>
      <c r="D18" s="595">
        <f>'NG-based (2)'!C14</f>
        <v>0.99241376719823615</v>
      </c>
      <c r="E18" s="596">
        <f t="shared" ref="E18:E23" si="0">1-D18</f>
        <v>7.5862328017638481E-3</v>
      </c>
      <c r="F18" s="565"/>
      <c r="G18" s="595">
        <f>'NG-based (2)'!F14</f>
        <v>0.99715526209720007</v>
      </c>
      <c r="H18" s="594">
        <f t="shared" ref="H18:H23" si="1">1-G18</f>
        <v>2.844737902799932E-3</v>
      </c>
    </row>
    <row r="19" spans="2:8">
      <c r="B19" s="557"/>
      <c r="C19" s="565" t="str">
        <f>'NG-based (2)'!B15</f>
        <v>CNG车</v>
      </c>
      <c r="D19" s="595">
        <f>'NG-based (2)'!C15</f>
        <v>0.98555089604954604</v>
      </c>
      <c r="E19" s="596">
        <f t="shared" si="0"/>
        <v>1.4449103950453956E-2</v>
      </c>
      <c r="F19" s="565"/>
      <c r="G19" s="595">
        <f>'NG-based (2)'!F15</f>
        <v>0.84819528738749628</v>
      </c>
      <c r="H19" s="594">
        <f t="shared" si="1"/>
        <v>0.15180471261250372</v>
      </c>
    </row>
    <row r="20" spans="2:8">
      <c r="B20" s="557"/>
      <c r="C20" s="565" t="str">
        <f>'NG-based (2)'!B16</f>
        <v>LNG车(海外进口)</v>
      </c>
      <c r="D20" s="595">
        <f>'NG-based (2)'!C16</f>
        <v>0.98919309118943188</v>
      </c>
      <c r="E20" s="596">
        <f t="shared" si="0"/>
        <v>1.0806908810568117E-2</v>
      </c>
      <c r="F20" s="565"/>
      <c r="G20" s="595">
        <f>'NG-based (2)'!F16</f>
        <v>0.8324932608112412</v>
      </c>
      <c r="H20" s="594">
        <f t="shared" si="1"/>
        <v>0.1675067391887588</v>
      </c>
    </row>
    <row r="21" spans="2:8">
      <c r="B21" s="557"/>
      <c r="C21" s="565" t="str">
        <f>'NG-based (2)'!B17</f>
        <v>LNG车(井口液化)</v>
      </c>
      <c r="D21" s="595">
        <f>'NG-based (2)'!C17</f>
        <v>0.97893135495375827</v>
      </c>
      <c r="E21" s="596">
        <f t="shared" si="0"/>
        <v>2.106864504624173E-2</v>
      </c>
      <c r="F21" s="565"/>
      <c r="G21" s="595">
        <f>'NG-based (2)'!F17</f>
        <v>0.85806247385175227</v>
      </c>
      <c r="H21" s="594">
        <f t="shared" si="1"/>
        <v>0.14193752614824773</v>
      </c>
    </row>
    <row r="22" spans="2:8">
      <c r="B22" s="557"/>
      <c r="C22" s="565" t="str">
        <f>'NG-based (2)'!B18</f>
        <v>LNG车(管道气液化)</v>
      </c>
      <c r="D22" s="595">
        <f>'NG-based (2)'!C18</f>
        <v>0.99080984063556343</v>
      </c>
      <c r="E22" s="596">
        <f t="shared" si="0"/>
        <v>9.1901593644365676E-3</v>
      </c>
      <c r="F22" s="565"/>
      <c r="G22" s="595">
        <f>'NG-based (2)'!F18</f>
        <v>0.86914758381907564</v>
      </c>
      <c r="H22" s="594">
        <f t="shared" si="1"/>
        <v>0.13085241618092436</v>
      </c>
    </row>
    <row r="23" spans="2:8">
      <c r="B23" s="555"/>
      <c r="C23" s="563" t="str">
        <f>'NG-based (2)'!B19</f>
        <v>GTL车</v>
      </c>
      <c r="D23" s="592">
        <f>'NG-based (2)'!C19</f>
        <v>1.6832611746412502</v>
      </c>
      <c r="E23" s="593">
        <f t="shared" si="0"/>
        <v>-0.68326117464125025</v>
      </c>
      <c r="F23" s="563"/>
      <c r="G23" s="592">
        <f>'NG-based (2)'!F19</f>
        <v>1.5458275660032381</v>
      </c>
      <c r="H23" s="591">
        <f t="shared" si="1"/>
        <v>-0.54582756600323812</v>
      </c>
    </row>
    <row r="25" spans="2:8">
      <c r="B25" s="559" t="str">
        <f>'NG-based (2)'!A21</f>
        <v>相对柴油车</v>
      </c>
      <c r="C25" s="566"/>
      <c r="D25" s="566" t="str">
        <f>'NG-based (2)'!C21</f>
        <v>能耗</v>
      </c>
      <c r="E25" s="566" t="s">
        <v>769</v>
      </c>
      <c r="F25" s="566"/>
      <c r="G25" s="566" t="str">
        <f>'NG-based (2)'!F21</f>
        <v>排放</v>
      </c>
      <c r="H25" s="558" t="s">
        <v>768</v>
      </c>
    </row>
    <row r="26" spans="2:8">
      <c r="B26" s="557"/>
      <c r="C26" s="565" t="str">
        <f>'NG-based (2)'!B22</f>
        <v>LPG车</v>
      </c>
      <c r="D26" s="595">
        <f>'NG-based (2)'!C22</f>
        <v>1.0993915302375652</v>
      </c>
      <c r="E26" s="596">
        <f t="shared" ref="E26:E31" si="2">1-D26</f>
        <v>-9.9391530237565195E-2</v>
      </c>
      <c r="F26" s="565"/>
      <c r="G26" s="595">
        <f>'NG-based (2)'!F22</f>
        <v>1.0719012034882296</v>
      </c>
      <c r="H26" s="594">
        <f t="shared" ref="H26:H31" si="3">1-G26</f>
        <v>-7.1901203488229593E-2</v>
      </c>
    </row>
    <row r="27" spans="2:8">
      <c r="B27" s="557"/>
      <c r="C27" s="565" t="str">
        <f>'NG-based (2)'!B23</f>
        <v>CNG车</v>
      </c>
      <c r="D27" s="595">
        <f>'NG-based (2)'!C23</f>
        <v>1.0917888722904849</v>
      </c>
      <c r="E27" s="596">
        <f t="shared" si="2"/>
        <v>-9.1788872290484935E-2</v>
      </c>
      <c r="F27" s="565"/>
      <c r="G27" s="595">
        <f>'NG-based (2)'!F23</f>
        <v>0.91177531113011101</v>
      </c>
      <c r="H27" s="594">
        <f t="shared" si="3"/>
        <v>8.822468886988899E-2</v>
      </c>
    </row>
    <row r="28" spans="2:8">
      <c r="B28" s="557"/>
      <c r="C28" s="565" t="str">
        <f>'NG-based (2)'!B24</f>
        <v>LNG车(海外进口)</v>
      </c>
      <c r="D28" s="595">
        <f>'NG-based (2)'!C24</f>
        <v>1.0958236797675793</v>
      </c>
      <c r="E28" s="596">
        <f t="shared" si="2"/>
        <v>-9.5823679767579328E-2</v>
      </c>
      <c r="F28" s="565"/>
      <c r="G28" s="595">
        <f>'NG-based (2)'!F24</f>
        <v>0.89489627350773182</v>
      </c>
      <c r="H28" s="594">
        <f t="shared" si="3"/>
        <v>0.10510372649226818</v>
      </c>
    </row>
    <row r="29" spans="2:8">
      <c r="B29" s="557"/>
      <c r="C29" s="565" t="str">
        <f>'NG-based (2)'!B25</f>
        <v>LNG车(井口液化)</v>
      </c>
      <c r="D29" s="595">
        <f>'NG-based (2)'!C25</f>
        <v>1.0844557742871046</v>
      </c>
      <c r="E29" s="596">
        <f t="shared" si="2"/>
        <v>-8.4455774287104601E-2</v>
      </c>
      <c r="F29" s="565"/>
      <c r="G29" s="595">
        <f>'NG-based (2)'!F25</f>
        <v>0.9223821338066861</v>
      </c>
      <c r="H29" s="594">
        <f t="shared" si="3"/>
        <v>7.76178661933139E-2</v>
      </c>
    </row>
    <row r="30" spans="2:8">
      <c r="B30" s="557"/>
      <c r="C30" s="565" t="str">
        <f>'NG-based (2)'!B26</f>
        <v>LNG车(管道气液化)</v>
      </c>
      <c r="D30" s="595">
        <f>'NG-based (2)'!C26</f>
        <v>1.0976147075690288</v>
      </c>
      <c r="E30" s="596">
        <f t="shared" si="2"/>
        <v>-9.7614707569028791E-2</v>
      </c>
      <c r="F30" s="565"/>
      <c r="G30" s="595">
        <f>'NG-based (2)'!F26</f>
        <v>0.93429817453416808</v>
      </c>
      <c r="H30" s="594">
        <f t="shared" si="3"/>
        <v>6.570182546583192E-2</v>
      </c>
    </row>
    <row r="31" spans="2:8">
      <c r="B31" s="555"/>
      <c r="C31" s="563" t="str">
        <f>'NG-based (2)'!B27</f>
        <v>GTL车</v>
      </c>
      <c r="D31" s="592">
        <f>'NG-based (2)'!C27</f>
        <v>1.6832611746412502</v>
      </c>
      <c r="E31" s="593">
        <f t="shared" si="2"/>
        <v>-0.68326117464125025</v>
      </c>
      <c r="F31" s="563"/>
      <c r="G31" s="592">
        <f>'NG-based (2)'!F27</f>
        <v>1.5458275660032381</v>
      </c>
      <c r="H31" s="591">
        <f t="shared" si="3"/>
        <v>-0.54582756600323812</v>
      </c>
    </row>
    <row r="35" spans="1:9">
      <c r="A35" s="543" t="s">
        <v>767</v>
      </c>
    </row>
    <row r="36" spans="1:9" s="587" customFormat="1" ht="54">
      <c r="B36" s="590"/>
      <c r="C36" s="589"/>
      <c r="D36" s="589" t="str">
        <f>'WTP&amp;WTW'!AF1</f>
        <v>WTW fossil energy use</v>
      </c>
      <c r="E36" s="589" t="str">
        <f>'WTP&amp;WTW'!AG1</f>
        <v>Upper limit of error</v>
      </c>
      <c r="F36" s="589" t="str">
        <f>'WTP&amp;WTW'!AH1</f>
        <v>Lower limit of error</v>
      </c>
      <c r="G36" s="589" t="str">
        <f>'WTP&amp;WTW'!AI1</f>
        <v>WTW GHG emission</v>
      </c>
      <c r="H36" s="589" t="str">
        <f>'WTP&amp;WTW'!AJ1</f>
        <v>Upper limit of error</v>
      </c>
      <c r="I36" s="588" t="str">
        <f>'WTP&amp;WTW'!AK1</f>
        <v>Lower limit of error</v>
      </c>
    </row>
    <row r="37" spans="1:9">
      <c r="B37" s="555"/>
      <c r="C37" s="563"/>
      <c r="D37" s="563" t="str">
        <f>'WTP&amp;WTW'!AF2</f>
        <v>(MJ/km)</v>
      </c>
      <c r="E37" s="563"/>
      <c r="F37" s="563"/>
      <c r="G37" s="563" t="str">
        <f>'WTP&amp;WTW'!AI2</f>
        <v>(g CO2e/km)</v>
      </c>
      <c r="H37" s="563"/>
      <c r="I37" s="562"/>
    </row>
    <row r="38" spans="1:9">
      <c r="B38" s="559" t="str">
        <f>'WTP&amp;WTW'!A3</f>
        <v>SI ICE-Gasoline (8L/100km)</v>
      </c>
      <c r="C38" s="566" t="s">
        <v>766</v>
      </c>
      <c r="D38" s="580">
        <f>'WTP&amp;WTW'!AF3</f>
        <v>3.2156682733811834</v>
      </c>
      <c r="E38" s="578">
        <f>'WTP&amp;WTW'!AG3</f>
        <v>0.16924569859900968</v>
      </c>
      <c r="F38" s="578">
        <f>'WTP&amp;WTW'!AH3</f>
        <v>0.16924569859900968</v>
      </c>
      <c r="G38" s="579">
        <f>'WTP&amp;WTW'!AI3</f>
        <v>228.3475890415595</v>
      </c>
      <c r="H38" s="578">
        <f>'WTP&amp;WTW'!AJ3</f>
        <v>12.01829416008208</v>
      </c>
      <c r="I38" s="577">
        <f>'WTP&amp;WTW'!AK3</f>
        <v>12.01829416008208</v>
      </c>
    </row>
    <row r="39" spans="1:9">
      <c r="B39" s="555" t="str">
        <f>'WTP&amp;WTW'!A9</f>
        <v>CI ICE-Diesel</v>
      </c>
      <c r="C39" s="563" t="s">
        <v>765</v>
      </c>
      <c r="D39" s="572">
        <f>'WTP&amp;WTW'!AF9</f>
        <v>2.9027633718048311</v>
      </c>
      <c r="E39" s="570">
        <f>'WTP&amp;WTW'!AG9</f>
        <v>0.15277701956867534</v>
      </c>
      <c r="F39" s="570">
        <f>'WTP&amp;WTW'!AH9</f>
        <v>0.15277701956867534</v>
      </c>
      <c r="G39" s="571">
        <f>'WTP&amp;WTW'!AI9</f>
        <v>212.42442797807749</v>
      </c>
      <c r="H39" s="570">
        <f>'WTP&amp;WTW'!AJ9</f>
        <v>11.180233051477764</v>
      </c>
      <c r="I39" s="569">
        <f>'WTP&amp;WTW'!AK9</f>
        <v>11.180233051477764</v>
      </c>
    </row>
    <row r="40" spans="1:9">
      <c r="B40" s="557"/>
      <c r="C40" s="565"/>
      <c r="D40" s="576"/>
      <c r="E40" s="574"/>
      <c r="F40" s="574"/>
      <c r="G40" s="575"/>
      <c r="H40" s="574"/>
      <c r="I40" s="573"/>
    </row>
    <row r="41" spans="1:9">
      <c r="B41" s="557"/>
      <c r="C41" s="565"/>
      <c r="D41" s="576"/>
      <c r="E41" s="574"/>
      <c r="F41" s="574"/>
      <c r="G41" s="575"/>
      <c r="H41" s="574"/>
      <c r="I41" s="573"/>
    </row>
    <row r="42" spans="1:9">
      <c r="B42" s="559" t="str">
        <f>'NG-based (2)'!A6</f>
        <v>SI ICE-LPG</v>
      </c>
      <c r="C42" s="566" t="s">
        <v>764</v>
      </c>
      <c r="D42" s="580">
        <f>'NG-based (2)'!C6</f>
        <v>3.1912734652460677</v>
      </c>
      <c r="E42" s="578">
        <f>'NG-based (2)'!D6</f>
        <v>0.16796176132874041</v>
      </c>
      <c r="F42" s="578">
        <f>'NG-based (2)'!E6</f>
        <v>0.16796176132874041</v>
      </c>
      <c r="G42" s="579">
        <f>'NG-based (2)'!F6</f>
        <v>227.69800000000001</v>
      </c>
      <c r="H42" s="578">
        <f>'NG-based (2)'!G6</f>
        <v>11.984105263157897</v>
      </c>
      <c r="I42" s="577">
        <f>'NG-based (2)'!H6</f>
        <v>11.984105263157897</v>
      </c>
    </row>
    <row r="43" spans="1:9">
      <c r="B43" s="557" t="str">
        <f>'NG-based (2)'!A7</f>
        <v>SI ICE-CNG</v>
      </c>
      <c r="C43" s="565" t="s">
        <v>763</v>
      </c>
      <c r="D43" s="576">
        <f>'NG-based (2)'!C7</f>
        <v>3.1692047482289221</v>
      </c>
      <c r="E43" s="574">
        <f>'NG-based (2)'!D7</f>
        <v>0.35213386091432469</v>
      </c>
      <c r="F43" s="574">
        <f>'NG-based (2)'!E7</f>
        <v>0.35213386091432469</v>
      </c>
      <c r="G43" s="575">
        <f>'NG-based (2)'!F7</f>
        <v>193.68334891134745</v>
      </c>
      <c r="H43" s="574">
        <f>'NG-based (2)'!G7</f>
        <v>21.520372101260829</v>
      </c>
      <c r="I43" s="573">
        <f>'NG-based (2)'!H7</f>
        <v>21.520372101260829</v>
      </c>
    </row>
    <row r="44" spans="1:9">
      <c r="B44" s="557" t="str">
        <f>'NG-based (2)'!A8</f>
        <v>SI ICE-LNG1</v>
      </c>
      <c r="C44" s="565" t="s">
        <v>762</v>
      </c>
      <c r="D44" s="576">
        <f>'NG-based (2)'!C8</f>
        <v>3.1809168395857159</v>
      </c>
      <c r="E44" s="574">
        <f>'NG-based (2)'!D8</f>
        <v>0.16741667576766928</v>
      </c>
      <c r="F44" s="574">
        <f>'NG-based (2)'!E8</f>
        <v>0.16741667576766925</v>
      </c>
      <c r="G44" s="575">
        <f>'NG-based (2)'!F8</f>
        <v>190.0978289995931</v>
      </c>
      <c r="H44" s="574">
        <f>'NG-based (2)'!G8</f>
        <v>10.005148894715427</v>
      </c>
      <c r="I44" s="573">
        <f>'NG-based (2)'!H8</f>
        <v>10.005148894715427</v>
      </c>
    </row>
    <row r="45" spans="1:9">
      <c r="B45" s="557" t="str">
        <f>'NG-based (2)'!A9</f>
        <v>SI ICE-LNG2</v>
      </c>
      <c r="C45" s="565" t="s">
        <v>761</v>
      </c>
      <c r="D45" s="576">
        <f>'NG-based (2)'!C9</f>
        <v>3.1479184999428544</v>
      </c>
      <c r="E45" s="574">
        <f>'NG-based (2)'!D9</f>
        <v>0.16567992104962392</v>
      </c>
      <c r="F45" s="574">
        <f>'NG-based (2)'!E9</f>
        <v>0.16567992104962392</v>
      </c>
      <c r="G45" s="575">
        <f>'NG-based (2)'!F9</f>
        <v>195.93649715108381</v>
      </c>
      <c r="H45" s="574">
        <f>'NG-based (2)'!G9</f>
        <v>10.312447218478097</v>
      </c>
      <c r="I45" s="573">
        <f>'NG-based (2)'!H9</f>
        <v>10.312447218478097</v>
      </c>
    </row>
    <row r="46" spans="1:9">
      <c r="B46" s="557" t="str">
        <f>'NG-based (2)'!A10</f>
        <v>SI ICE-LNG3</v>
      </c>
      <c r="C46" s="565" t="s">
        <v>760</v>
      </c>
      <c r="D46" s="576">
        <f>'NG-based (2)'!C10</f>
        <v>3.1861157694856477</v>
      </c>
      <c r="E46" s="574">
        <f>'NG-based (2)'!D10</f>
        <v>0.16769030365713938</v>
      </c>
      <c r="F46" s="574">
        <f>'NG-based (2)'!E10</f>
        <v>0.16769030365713938</v>
      </c>
      <c r="G46" s="575">
        <f>'NG-based (2)'!F10</f>
        <v>198.46775528638267</v>
      </c>
      <c r="H46" s="574">
        <f>'NG-based (2)'!G10</f>
        <v>10.445671330862247</v>
      </c>
      <c r="I46" s="573">
        <f>'NG-based (2)'!H10</f>
        <v>10.445671330862247</v>
      </c>
    </row>
    <row r="47" spans="1:9">
      <c r="B47" s="555" t="str">
        <f>'NG-based (2)'!A11</f>
        <v>CI ICE-GTL</v>
      </c>
      <c r="C47" s="563" t="s">
        <v>759</v>
      </c>
      <c r="D47" s="572">
        <f>'NG-based (2)'!C11</f>
        <v>4.8861088829297961</v>
      </c>
      <c r="E47" s="570">
        <f>'NG-based (2)'!D11</f>
        <v>0.86225450875231702</v>
      </c>
      <c r="F47" s="570">
        <f>'NG-based (2)'!E11</f>
        <v>0.86225450875231702</v>
      </c>
      <c r="G47" s="571">
        <f>'NG-based (2)'!F11</f>
        <v>328.3715364609817</v>
      </c>
      <c r="H47" s="570">
        <f>'NG-based (2)'!G11</f>
        <v>57.947918198996774</v>
      </c>
      <c r="I47" s="569">
        <f>'NG-based (2)'!H11</f>
        <v>57.947918198996767</v>
      </c>
    </row>
    <row r="48" spans="1:9">
      <c r="B48" s="557"/>
      <c r="C48" s="565"/>
      <c r="D48" s="576"/>
      <c r="E48" s="574"/>
      <c r="F48" s="574"/>
      <c r="G48" s="575"/>
      <c r="H48" s="574"/>
      <c r="I48" s="573"/>
    </row>
    <row r="49" spans="2:9">
      <c r="B49" s="557"/>
      <c r="C49" s="565"/>
      <c r="D49" s="576"/>
      <c r="E49" s="574"/>
      <c r="F49" s="574"/>
      <c r="G49" s="575"/>
      <c r="H49" s="574"/>
      <c r="I49" s="573"/>
    </row>
    <row r="50" spans="2:9">
      <c r="B50" s="559" t="str">
        <f>'Coal-based'!A6</f>
        <v>SI ICE-Methanol from coal</v>
      </c>
      <c r="C50" s="566" t="s">
        <v>758</v>
      </c>
      <c r="D50" s="580">
        <f>'Coal-based'!C6</f>
        <v>5.2369749529880938</v>
      </c>
      <c r="E50" s="578">
        <f>'Coal-based'!D6</f>
        <v>0.92417205052731077</v>
      </c>
      <c r="F50" s="578">
        <f>'Coal-based'!E6</f>
        <v>1.3092437382470234</v>
      </c>
      <c r="G50" s="579">
        <f>'Coal-based'!F6</f>
        <v>610.42389531027345</v>
      </c>
      <c r="H50" s="578">
        <f>'Coal-based'!G6</f>
        <v>107.72186387828356</v>
      </c>
      <c r="I50" s="577">
        <f>'Coal-based'!H6</f>
        <v>152.60597382756836</v>
      </c>
    </row>
    <row r="51" spans="2:9">
      <c r="B51" s="557" t="str">
        <f>'Coal-based'!A7</f>
        <v>SI ICE-DME from coal</v>
      </c>
      <c r="C51" s="565" t="s">
        <v>757</v>
      </c>
      <c r="D51" s="576">
        <f>'Coal-based'!C7</f>
        <v>5.3881571902773313</v>
      </c>
      <c r="E51" s="574">
        <f>'Coal-based'!D7</f>
        <v>0.95085126887247029</v>
      </c>
      <c r="F51" s="574">
        <f>'Coal-based'!E7</f>
        <v>1.3470392975693328</v>
      </c>
      <c r="G51" s="575">
        <f>'Coal-based'!F7</f>
        <v>627.62763636363627</v>
      </c>
      <c r="H51" s="574">
        <f>'Coal-based'!G7</f>
        <v>110.75781818181817</v>
      </c>
      <c r="I51" s="573">
        <f>'Coal-based'!H7</f>
        <v>156.90690909090907</v>
      </c>
    </row>
    <row r="52" spans="2:9">
      <c r="B52" s="557" t="str">
        <f>'Coal-based'!A8</f>
        <v>CI ICE-CTL</v>
      </c>
      <c r="C52" s="565" t="s">
        <v>756</v>
      </c>
      <c r="D52" s="576">
        <f>'Coal-based'!C8</f>
        <v>6.1547967354492181</v>
      </c>
      <c r="E52" s="574">
        <f>'Coal-based'!D8</f>
        <v>0.6838663039388021</v>
      </c>
      <c r="F52" s="574">
        <f>'Coal-based'!E8</f>
        <v>1.0861406003733913</v>
      </c>
      <c r="G52" s="575">
        <f>'Coal-based'!F8</f>
        <v>463.08120817175916</v>
      </c>
      <c r="H52" s="574">
        <f>'Coal-based'!G8</f>
        <v>51.453467574639909</v>
      </c>
      <c r="I52" s="573">
        <f>'Coal-based'!H8</f>
        <v>81.720213206781025</v>
      </c>
    </row>
    <row r="53" spans="2:9">
      <c r="B53" s="555" t="str">
        <f>'Coal-based'!A9</f>
        <v>CI ICE-ICTL</v>
      </c>
      <c r="C53" s="563" t="s">
        <v>755</v>
      </c>
      <c r="D53" s="572">
        <f>'Coal-based'!C9</f>
        <v>6.1718098415346114</v>
      </c>
      <c r="E53" s="570">
        <f>'Coal-based'!D9</f>
        <v>0.68575664905940137</v>
      </c>
      <c r="F53" s="570">
        <f>'Coal-based'!E9</f>
        <v>1.0891429132119901</v>
      </c>
      <c r="G53" s="571">
        <f>'Coal-based'!F9</f>
        <v>663.53781818181824</v>
      </c>
      <c r="H53" s="570">
        <f>'Coal-based'!G9</f>
        <v>73.726424242424258</v>
      </c>
      <c r="I53" s="569">
        <f>'Coal-based'!H9</f>
        <v>117.0949090909091</v>
      </c>
    </row>
    <row r="54" spans="2:9">
      <c r="B54" s="557"/>
      <c r="C54" s="565"/>
      <c r="D54" s="576"/>
      <c r="E54" s="574"/>
      <c r="F54" s="574"/>
      <c r="G54" s="575"/>
      <c r="H54" s="574"/>
      <c r="I54" s="573"/>
    </row>
    <row r="55" spans="2:9">
      <c r="B55" s="559" t="str">
        <f>'Coal-based'!A11</f>
        <v>SI ICE-Methanol from coal (CCS)</v>
      </c>
      <c r="C55" s="566" t="s">
        <v>754</v>
      </c>
      <c r="D55" s="580">
        <f>'Coal-based'!C11</f>
        <v>6.6611947702313152</v>
      </c>
      <c r="E55" s="578">
        <f>'Coal-based'!D11</f>
        <v>1.6652986925578288</v>
      </c>
      <c r="F55" s="578">
        <f>'Coal-based'!E11</f>
        <v>2.2203982567437719</v>
      </c>
      <c r="G55" s="579">
        <f>'Coal-based'!F11</f>
        <v>403.50054096780781</v>
      </c>
      <c r="H55" s="578">
        <f>'Coal-based'!G11</f>
        <v>100.87513524195195</v>
      </c>
      <c r="I55" s="577">
        <f>'Coal-based'!H11</f>
        <v>134.5001803226026</v>
      </c>
    </row>
    <row r="56" spans="2:9">
      <c r="B56" s="557" t="str">
        <f>'Coal-based'!A12</f>
        <v>SI ICE-DME from coal (CCS)</v>
      </c>
      <c r="C56" s="565" t="s">
        <v>753</v>
      </c>
      <c r="D56" s="576">
        <f>'Coal-based'!C12</f>
        <v>6.535064935064935</v>
      </c>
      <c r="E56" s="574">
        <f>'Coal-based'!D12</f>
        <v>1.6337662337662338</v>
      </c>
      <c r="F56" s="574">
        <f>'Coal-based'!E12</f>
        <v>2.1783549783549785</v>
      </c>
      <c r="G56" s="575">
        <f>'Coal-based'!F12</f>
        <v>445.56072727272726</v>
      </c>
      <c r="H56" s="574">
        <f>'Coal-based'!G12</f>
        <v>111.39018181818182</v>
      </c>
      <c r="I56" s="573">
        <f>'Coal-based'!H12</f>
        <v>148.52024242424241</v>
      </c>
    </row>
    <row r="57" spans="2:9">
      <c r="B57" s="557" t="str">
        <f>'Coal-based'!A13</f>
        <v>CI ICE-CTL(CCS)</v>
      </c>
      <c r="C57" s="565" t="s">
        <v>752</v>
      </c>
      <c r="D57" s="576">
        <f>'Coal-based'!C13</f>
        <v>7.5842032146818168</v>
      </c>
      <c r="E57" s="574">
        <f>'Coal-based'!D13</f>
        <v>1.3383888025909092</v>
      </c>
      <c r="F57" s="574">
        <f>'Coal-based'!E13</f>
        <v>1.8960508036704542</v>
      </c>
      <c r="G57" s="575">
        <f>'Coal-based'!F13</f>
        <v>342.65654524270894</v>
      </c>
      <c r="H57" s="574">
        <f>'Coal-based'!G13</f>
        <v>60.468802101654532</v>
      </c>
      <c r="I57" s="573">
        <f>'Coal-based'!H13</f>
        <v>85.664136310677222</v>
      </c>
    </row>
    <row r="58" spans="2:9">
      <c r="B58" s="555" t="str">
        <f>'Coal-based'!A14</f>
        <v>CI ICE-ICTL(CCS)</v>
      </c>
      <c r="C58" s="563" t="s">
        <v>751</v>
      </c>
      <c r="D58" s="572">
        <f>'Coal-based'!C14</f>
        <v>6.8810852204354003</v>
      </c>
      <c r="E58" s="570">
        <f>'Coal-based'!D14</f>
        <v>1.2143091565474238</v>
      </c>
      <c r="F58" s="570">
        <f>'Coal-based'!E14</f>
        <v>1.7202713051088503</v>
      </c>
      <c r="G58" s="571">
        <f>'Coal-based'!F14</f>
        <v>574.79163636363637</v>
      </c>
      <c r="H58" s="570">
        <f>'Coal-based'!G14</f>
        <v>101.43381818181821</v>
      </c>
      <c r="I58" s="569">
        <f>'Coal-based'!H14</f>
        <v>143.69790909090909</v>
      </c>
    </row>
    <row r="59" spans="2:9">
      <c r="B59" s="557"/>
      <c r="C59" s="565"/>
      <c r="D59" s="576"/>
      <c r="E59" s="574"/>
      <c r="F59" s="574"/>
      <c r="G59" s="575"/>
      <c r="H59" s="574"/>
      <c r="I59" s="573"/>
    </row>
    <row r="60" spans="2:9">
      <c r="B60" s="557"/>
      <c r="C60" s="565"/>
      <c r="D60" s="576"/>
      <c r="E60" s="574"/>
      <c r="F60" s="574"/>
      <c r="G60" s="575"/>
      <c r="H60" s="574"/>
      <c r="I60" s="573"/>
    </row>
    <row r="61" spans="2:9">
      <c r="B61" s="586" t="str">
        <f>EV!A6</f>
        <v>BEV-Grid power (20.3KWh/100km)</v>
      </c>
      <c r="C61" s="585" t="s">
        <v>750</v>
      </c>
      <c r="D61" s="584">
        <f>EV!C6</f>
        <v>1.8318354637463474</v>
      </c>
      <c r="E61" s="582">
        <f>EV!D6</f>
        <v>0.20353727374959418</v>
      </c>
      <c r="F61" s="582">
        <f>EV!E6</f>
        <v>0.20353727374959416</v>
      </c>
      <c r="G61" s="583">
        <f>EV!F6</f>
        <v>162.05898095743058</v>
      </c>
      <c r="H61" s="582">
        <f>EV!G6</f>
        <v>18.006553439714509</v>
      </c>
      <c r="I61" s="581">
        <f>EV!H6</f>
        <v>18.006553439714509</v>
      </c>
    </row>
    <row r="62" spans="2:9">
      <c r="B62" s="557"/>
      <c r="C62" s="565"/>
      <c r="D62" s="576"/>
      <c r="E62" s="574"/>
      <c r="F62" s="574"/>
      <c r="G62" s="575"/>
      <c r="H62" s="574"/>
      <c r="I62" s="573"/>
    </row>
    <row r="63" spans="2:9">
      <c r="B63" s="559" t="str">
        <f>EV!A8</f>
        <v>BEV-Coal power</v>
      </c>
      <c r="C63" s="566" t="s">
        <v>749</v>
      </c>
      <c r="D63" s="580">
        <f>EV!C8</f>
        <v>2.2901099542227317</v>
      </c>
      <c r="E63" s="578">
        <f>EV!D8</f>
        <v>0.25445666158030356</v>
      </c>
      <c r="F63" s="578">
        <f>EV!E8</f>
        <v>0.25445666158030356</v>
      </c>
      <c r="G63" s="579">
        <f>EV!F8</f>
        <v>208.15086900056673</v>
      </c>
      <c r="H63" s="578">
        <f>EV!G8</f>
        <v>23.127874333396306</v>
      </c>
      <c r="I63" s="577">
        <f>EV!H8</f>
        <v>23.127874333396303</v>
      </c>
    </row>
    <row r="64" spans="2:9">
      <c r="B64" s="557" t="str">
        <f>EV!A9</f>
        <v>BEV-Oil power</v>
      </c>
      <c r="C64" s="565" t="s">
        <v>748</v>
      </c>
      <c r="D64" s="576">
        <f>EV!C9</f>
        <v>2.9467721559962441</v>
      </c>
      <c r="E64" s="574">
        <f>EV!D9</f>
        <v>0.32741912844402715</v>
      </c>
      <c r="F64" s="574">
        <f>EV!E9</f>
        <v>0.3274191284440271</v>
      </c>
      <c r="G64" s="575">
        <f>EV!F9</f>
        <v>223.31665737085774</v>
      </c>
      <c r="H64" s="574">
        <f>EV!G9</f>
        <v>24.812961930095305</v>
      </c>
      <c r="I64" s="573">
        <f>EV!H9</f>
        <v>24.812961930095305</v>
      </c>
    </row>
    <row r="65" spans="2:9">
      <c r="B65" s="557" t="str">
        <f>EV!A10</f>
        <v>BEV-Gas power</v>
      </c>
      <c r="C65" s="565" t="s">
        <v>747</v>
      </c>
      <c r="D65" s="576">
        <f>EV!C10</f>
        <v>1.8885006165580507</v>
      </c>
      <c r="E65" s="574">
        <f>EV!D10</f>
        <v>0.20983340183978341</v>
      </c>
      <c r="F65" s="574">
        <f>EV!E10</f>
        <v>0.20983340183978344</v>
      </c>
      <c r="G65" s="575">
        <f>EV!F10</f>
        <v>112.46805213474198</v>
      </c>
      <c r="H65" s="574">
        <f>EV!G10</f>
        <v>12.496450237193555</v>
      </c>
      <c r="I65" s="573">
        <f>EV!H10</f>
        <v>12.496450237193553</v>
      </c>
    </row>
    <row r="66" spans="2:9">
      <c r="B66" s="557" t="str">
        <f>EV!A11</f>
        <v>BEV-Nuclear power</v>
      </c>
      <c r="C66" s="565" t="s">
        <v>746</v>
      </c>
      <c r="D66" s="576">
        <f>EV!C11</f>
        <v>4.5288000000000002E-2</v>
      </c>
      <c r="E66" s="574">
        <f>EV!D11</f>
        <v>5.0320000000000009E-3</v>
      </c>
      <c r="F66" s="574">
        <f>EV!E11</f>
        <v>5.032E-3</v>
      </c>
      <c r="G66" s="575">
        <f>EV!F11</f>
        <v>4.6725714285714286</v>
      </c>
      <c r="H66" s="574">
        <f>EV!G11</f>
        <v>0.51917460317460318</v>
      </c>
      <c r="I66" s="573">
        <f>EV!H11</f>
        <v>0.51917460317460318</v>
      </c>
    </row>
    <row r="67" spans="2:9">
      <c r="B67" s="557" t="str">
        <f>EV!A12</f>
        <v>BEV-Large Hydro power</v>
      </c>
      <c r="C67" s="565" t="s">
        <v>745</v>
      </c>
      <c r="D67" s="576">
        <f>EV!C12</f>
        <v>0</v>
      </c>
      <c r="E67" s="574">
        <f>EV!D12</f>
        <v>0</v>
      </c>
      <c r="F67" s="574">
        <f>EV!E12</f>
        <v>0</v>
      </c>
      <c r="G67" s="575">
        <f>EV!F12</f>
        <v>3.5942857142857143</v>
      </c>
      <c r="H67" s="574">
        <f>EV!G12</f>
        <v>0</v>
      </c>
      <c r="I67" s="573">
        <f>EV!H12</f>
        <v>0</v>
      </c>
    </row>
    <row r="68" spans="2:9">
      <c r="B68" s="557" t="str">
        <f>EV!A13</f>
        <v>BEV-Biopower</v>
      </c>
      <c r="C68" s="565" t="s">
        <v>744</v>
      </c>
      <c r="D68" s="576">
        <f>EV!C13</f>
        <v>5.4633142857142859E-2</v>
      </c>
      <c r="E68" s="574">
        <f>EV!D13</f>
        <v>6.0703492063492069E-3</v>
      </c>
      <c r="F68" s="574">
        <f>EV!E13</f>
        <v>6.070349206349206E-3</v>
      </c>
      <c r="G68" s="575">
        <f>EV!F13</f>
        <v>4.1693714285714281</v>
      </c>
      <c r="H68" s="574">
        <f>EV!G13</f>
        <v>0.46326349206349204</v>
      </c>
      <c r="I68" s="573">
        <f>EV!H13</f>
        <v>0.46326349206349204</v>
      </c>
    </row>
    <row r="69" spans="2:9">
      <c r="B69" s="555" t="str">
        <f>EV!A14</f>
        <v>BEV-Coal power(IGCC+CCS)</v>
      </c>
      <c r="C69" s="563" t="s">
        <v>743</v>
      </c>
      <c r="D69" s="572">
        <f>EV!C14</f>
        <v>2.5645028374065189</v>
      </c>
      <c r="E69" s="570">
        <f>EV!D14</f>
        <v>0.45255932424820922</v>
      </c>
      <c r="F69" s="570">
        <f>EV!E14</f>
        <v>0.45255932424820922</v>
      </c>
      <c r="G69" s="571">
        <f>EV!F14</f>
        <v>67.649635642902126</v>
      </c>
      <c r="H69" s="570">
        <f>EV!G14</f>
        <v>11.938170995806258</v>
      </c>
      <c r="I69" s="569">
        <f>EV!H14</f>
        <v>11.938170995806258</v>
      </c>
    </row>
    <row r="70" spans="2:9">
      <c r="B70" s="557"/>
      <c r="C70" s="565"/>
      <c r="D70" s="576"/>
      <c r="E70" s="574"/>
      <c r="F70" s="574"/>
      <c r="G70" s="575"/>
      <c r="H70" s="574"/>
      <c r="I70" s="573"/>
    </row>
    <row r="71" spans="2:9">
      <c r="B71" s="557"/>
      <c r="C71" s="565"/>
      <c r="D71" s="576"/>
      <c r="E71" s="565"/>
      <c r="F71" s="565"/>
      <c r="G71" s="575"/>
      <c r="H71" s="565"/>
      <c r="I71" s="556"/>
    </row>
    <row r="72" spans="2:9">
      <c r="B72" s="559" t="str">
        <f>'WTP&amp;WTW'!A29</f>
        <v>SI ICE-Corn ethanol</v>
      </c>
      <c r="C72" s="566" t="s">
        <v>742</v>
      </c>
      <c r="D72" s="580">
        <f>'WTP&amp;WTW'!AF29</f>
        <v>3.6028522662793607</v>
      </c>
      <c r="E72" s="578">
        <f>'WTP&amp;WTW'!AG29</f>
        <v>0.40031691847548456</v>
      </c>
      <c r="F72" s="578">
        <f>'WTP&amp;WTW'!AH29</f>
        <v>0.90071306656984018</v>
      </c>
      <c r="G72" s="579">
        <f>'WTP&amp;WTW'!AI29</f>
        <v>493.25966102567833</v>
      </c>
      <c r="H72" s="578">
        <f>'WTP&amp;WTW'!AJ29</f>
        <v>54.80662900285315</v>
      </c>
      <c r="I72" s="577">
        <f>'WTP&amp;WTW'!AK29</f>
        <v>123.31491525641958</v>
      </c>
    </row>
    <row r="73" spans="2:9">
      <c r="B73" s="557" t="str">
        <f>'WTP&amp;WTW'!A30</f>
        <v>SI ICE-Cassava ethanol</v>
      </c>
      <c r="C73" s="565" t="s">
        <v>741</v>
      </c>
      <c r="D73" s="576">
        <f>'WTP&amp;WTW'!AF30</f>
        <v>2.0493189258262987</v>
      </c>
      <c r="E73" s="574">
        <f>'WTP&amp;WTW'!AG30</f>
        <v>0.22770210286958875</v>
      </c>
      <c r="F73" s="574">
        <f>'WTP&amp;WTW'!AH30</f>
        <v>0.51232973145657468</v>
      </c>
      <c r="G73" s="575">
        <f>'WTP&amp;WTW'!AI30</f>
        <v>224.78508530659494</v>
      </c>
      <c r="H73" s="574">
        <f>'WTP&amp;WTW'!AJ30</f>
        <v>24.976120589621662</v>
      </c>
      <c r="I73" s="573">
        <f>'WTP&amp;WTW'!AK30</f>
        <v>56.196271326648741</v>
      </c>
    </row>
    <row r="74" spans="2:9">
      <c r="B74" s="557" t="str">
        <f>'WTP&amp;WTW'!A31</f>
        <v>SI ICE-Sweet sorghum ethanol</v>
      </c>
      <c r="C74" s="565" t="s">
        <v>740</v>
      </c>
      <c r="D74" s="576">
        <f>'WTP&amp;WTW'!AF31</f>
        <v>1.7000554650387762</v>
      </c>
      <c r="E74" s="574">
        <f>'WTP&amp;WTW'!AG31</f>
        <v>2.5500831975581639</v>
      </c>
      <c r="F74" s="574">
        <f>'WTP&amp;WTW'!AH31</f>
        <v>0.42501386625969406</v>
      </c>
      <c r="G74" s="575">
        <f>'WTP&amp;WTW'!AI31</f>
        <v>160.26954337595097</v>
      </c>
      <c r="H74" s="574">
        <f>'WTP&amp;WTW'!AJ31</f>
        <v>240.40431506392642</v>
      </c>
      <c r="I74" s="573">
        <f>'WTP&amp;WTW'!AK31</f>
        <v>40.067385843987736</v>
      </c>
    </row>
    <row r="75" spans="2:9">
      <c r="B75" s="557" t="str">
        <f>'WTP&amp;WTW'!A32</f>
        <v>SI ICE-Woody ethanol</v>
      </c>
      <c r="C75" s="565" t="s">
        <v>739</v>
      </c>
      <c r="D75" s="576">
        <f>'WTP&amp;WTW'!AF32</f>
        <v>0.93428531949103355</v>
      </c>
      <c r="E75" s="574">
        <f>'WTP&amp;WTW'!AG32</f>
        <v>0.10380947994344818</v>
      </c>
      <c r="F75" s="574">
        <f>'WTP&amp;WTW'!AH32</f>
        <v>0.10380947994344818</v>
      </c>
      <c r="G75" s="575">
        <f>'WTP&amp;WTW'!AI32</f>
        <v>79.7318078857746</v>
      </c>
      <c r="H75" s="574">
        <f>'WTP&amp;WTW'!AJ32</f>
        <v>-8.8590897650860665</v>
      </c>
      <c r="I75" s="573">
        <f>'WTP&amp;WTW'!AK32</f>
        <v>-8.8590897650860665</v>
      </c>
    </row>
    <row r="76" spans="2:9">
      <c r="B76" s="555" t="str">
        <f>'WTP&amp;WTW'!A33</f>
        <v>SI ICE-Herbaceous ethanol</v>
      </c>
      <c r="C76" s="563" t="s">
        <v>738</v>
      </c>
      <c r="D76" s="572">
        <f>'WTP&amp;WTW'!AF33</f>
        <v>0.5173083858561639</v>
      </c>
      <c r="E76" s="570">
        <f>'WTP&amp;WTW'!AG33</f>
        <v>5.747870953957377E-2</v>
      </c>
      <c r="F76" s="570">
        <f>'WTP&amp;WTW'!AH33</f>
        <v>5.7478709539573763E-2</v>
      </c>
      <c r="G76" s="571">
        <f>'WTP&amp;WTW'!AI33</f>
        <v>9.5174561427939821</v>
      </c>
      <c r="H76" s="570">
        <f>'WTP&amp;WTW'!AJ33</f>
        <v>1.0574951269771091</v>
      </c>
      <c r="I76" s="569">
        <f>'WTP&amp;WTW'!AK33</f>
        <v>1.0574951269771091</v>
      </c>
    </row>
    <row r="77" spans="2:9">
      <c r="B77" s="557"/>
      <c r="C77" s="565"/>
      <c r="D77" s="576"/>
      <c r="E77" s="574"/>
      <c r="F77" s="574"/>
      <c r="G77" s="575"/>
      <c r="H77" s="574"/>
      <c r="I77" s="573"/>
    </row>
    <row r="78" spans="2:9">
      <c r="B78" s="559" t="str">
        <f>'WTP&amp;WTW'!A35</f>
        <v>CI ICE-Waste oil biodiesel</v>
      </c>
      <c r="C78" s="566" t="s">
        <v>737</v>
      </c>
      <c r="D78" s="580">
        <f>'WTP&amp;WTW'!AF35</f>
        <v>2.2208655948181812</v>
      </c>
      <c r="E78" s="578">
        <f>'WTP&amp;WTW'!AG35</f>
        <v>0.24676284386868683</v>
      </c>
      <c r="F78" s="578">
        <f>'WTP&amp;WTW'!AH35</f>
        <v>0.95179954063636341</v>
      </c>
      <c r="G78" s="579">
        <f>'WTP&amp;WTW'!AI35</f>
        <v>394.48180208639752</v>
      </c>
      <c r="H78" s="578">
        <f>'WTP&amp;WTW'!AJ35</f>
        <v>43.831311342933063</v>
      </c>
      <c r="I78" s="577">
        <f>'WTP&amp;WTW'!AK35</f>
        <v>169.06362946559895</v>
      </c>
    </row>
    <row r="79" spans="2:9">
      <c r="B79" s="557" t="str">
        <f>'WTP&amp;WTW'!A36</f>
        <v>CI ICE-Jatropha biodiesel</v>
      </c>
      <c r="C79" s="565" t="s">
        <v>736</v>
      </c>
      <c r="D79" s="576">
        <f>'WTP&amp;WTW'!AF36</f>
        <v>0.49322283877804179</v>
      </c>
      <c r="E79" s="574">
        <f>'WTP&amp;WTW'!AG36</f>
        <v>5.4802537642004649E-2</v>
      </c>
      <c r="F79" s="574">
        <f>'WTP&amp;WTW'!AH36</f>
        <v>5.4802537642004649E-2</v>
      </c>
      <c r="G79" s="575">
        <f>'WTP&amp;WTW'!AI36</f>
        <v>40.495416118041561</v>
      </c>
      <c r="H79" s="574">
        <f>'WTP&amp;WTW'!AJ36</f>
        <v>4.4994906797823964</v>
      </c>
      <c r="I79" s="573">
        <f>'WTP&amp;WTW'!AK36</f>
        <v>4.4994906797823955</v>
      </c>
    </row>
    <row r="80" spans="2:9">
      <c r="B80" s="555" t="str">
        <f>'WTP&amp;WTW'!A37</f>
        <v>CI ICE-BTL (F-T) biodiesel</v>
      </c>
      <c r="C80" s="563" t="s">
        <v>735</v>
      </c>
      <c r="D80" s="572">
        <f>'WTP&amp;WTW'!AF37</f>
        <v>0.13266181818181819</v>
      </c>
      <c r="E80" s="570">
        <f>'WTP&amp;WTW'!AG37</f>
        <v>3.3165454545454547E-2</v>
      </c>
      <c r="F80" s="570">
        <f>'WTP&amp;WTW'!AH37</f>
        <v>3.3165454545454547E-2</v>
      </c>
      <c r="G80" s="571">
        <f>'WTP&amp;WTW'!AI37</f>
        <v>16.559854545454531</v>
      </c>
      <c r="H80" s="570">
        <f>'WTP&amp;WTW'!AJ37</f>
        <v>4.1399636363636327</v>
      </c>
      <c r="I80" s="569">
        <f>'WTP&amp;WTW'!AK37</f>
        <v>4.1399636363636327</v>
      </c>
    </row>
    <row r="82" spans="5:8">
      <c r="E82" s="568"/>
      <c r="H82" s="568"/>
    </row>
    <row r="83" spans="5:8">
      <c r="E83" s="568"/>
      <c r="H83" s="568"/>
    </row>
  </sheetData>
  <phoneticPr fontId="60" type="noConversion"/>
  <hyperlinks>
    <hyperlink ref="A2" location="'Key Output (2)'!A35" display="全面比较"/>
    <hyperlink ref="A1" location="'Key Output (2)'!A4" display="气体燃料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39"/>
  <sheetViews>
    <sheetView topLeftCell="B1" zoomScale="80" zoomScaleNormal="80" workbookViewId="0">
      <selection activeCell="J25" sqref="J25"/>
    </sheetView>
  </sheetViews>
  <sheetFormatPr defaultRowHeight="13.5"/>
  <cols>
    <col min="3" max="5" width="22.875" customWidth="1"/>
    <col min="7" max="7" width="13.875" customWidth="1"/>
    <col min="10" max="10" width="9.5" bestFit="1" customWidth="1"/>
  </cols>
  <sheetData>
    <row r="1" spans="1:15">
      <c r="G1" s="6" t="s">
        <v>55</v>
      </c>
      <c r="H1" s="23">
        <v>6.9699999999999998E-2</v>
      </c>
      <c r="I1" s="6" t="s">
        <v>58</v>
      </c>
    </row>
    <row r="2" spans="1:15" ht="24">
      <c r="G2" s="24" t="s">
        <v>57</v>
      </c>
      <c r="H2" s="23">
        <v>0.06</v>
      </c>
      <c r="I2" t="s">
        <v>56</v>
      </c>
    </row>
    <row r="8" spans="1:15">
      <c r="C8" s="44"/>
      <c r="D8" s="44"/>
      <c r="E8" s="44"/>
      <c r="F8" s="27"/>
      <c r="G8" s="28"/>
    </row>
    <row r="9" spans="1:15">
      <c r="C9" s="32"/>
      <c r="D9" s="136"/>
      <c r="E9" s="136"/>
      <c r="G9" s="32"/>
    </row>
    <row r="10" spans="1:15" ht="14.25" thickBot="1"/>
    <row r="11" spans="1:15" ht="16.5" thickBot="1">
      <c r="A11" s="11" t="s">
        <v>18</v>
      </c>
      <c r="F11" s="36"/>
      <c r="G11" s="37" t="s">
        <v>47</v>
      </c>
      <c r="H11" s="37"/>
      <c r="I11" s="38"/>
      <c r="J11" s="36" t="s">
        <v>49</v>
      </c>
      <c r="K11" s="37" t="s">
        <v>49</v>
      </c>
      <c r="L11" s="38" t="s">
        <v>51</v>
      </c>
      <c r="M11" s="36"/>
      <c r="N11" s="38"/>
      <c r="O11" s="32" t="s">
        <v>96</v>
      </c>
    </row>
    <row r="12" spans="1:15" ht="25.5" thickTop="1" thickBot="1">
      <c r="A12" s="15" t="s">
        <v>12</v>
      </c>
      <c r="B12" s="15" t="s">
        <v>19</v>
      </c>
      <c r="C12" s="15" t="s">
        <v>20</v>
      </c>
      <c r="D12" s="155"/>
      <c r="E12" s="155"/>
      <c r="F12" s="45" t="s">
        <v>59</v>
      </c>
      <c r="G12" s="46" t="s">
        <v>60</v>
      </c>
      <c r="H12" s="46" t="s">
        <v>33</v>
      </c>
      <c r="I12" s="43" t="s">
        <v>35</v>
      </c>
      <c r="J12" s="41" t="s">
        <v>38</v>
      </c>
      <c r="K12" s="42" t="s">
        <v>42</v>
      </c>
      <c r="L12" s="43" t="s">
        <v>44</v>
      </c>
      <c r="M12" s="41" t="s">
        <v>53</v>
      </c>
      <c r="N12" s="43" t="s">
        <v>74</v>
      </c>
    </row>
    <row r="13" spans="1:15">
      <c r="A13" s="152" t="s">
        <v>281</v>
      </c>
      <c r="B13" s="152">
        <v>600</v>
      </c>
      <c r="C13" s="152">
        <f>Water!K10</f>
        <v>36.1</v>
      </c>
      <c r="D13" s="152"/>
      <c r="E13" s="152"/>
      <c r="F13" s="20">
        <f>100/C13/(1-H1)</f>
        <v>2.9776234574793876</v>
      </c>
      <c r="G13" s="20">
        <f>F13*'LC factor'!B7</f>
        <v>3.1937846406119483</v>
      </c>
      <c r="H13" s="20">
        <f>F13*'LC factor'!C7</f>
        <v>8.1243900391374402E-3</v>
      </c>
      <c r="I13" s="20">
        <f>F13*'LC factor'!D7</f>
        <v>4.3916678192343073E-2</v>
      </c>
      <c r="J13" s="20">
        <f>F13*'LC factor'!L7</f>
        <v>264.39170516856075</v>
      </c>
      <c r="K13" s="20">
        <f>F13*'LC factor'!M7</f>
        <v>1.3012287390972626</v>
      </c>
      <c r="L13" s="20">
        <f>F13*'LC factor'!N7</f>
        <v>4.1161815010818375E-3</v>
      </c>
      <c r="M13" s="20">
        <f>J13+K13*23+L13*0.296</f>
        <v>294.32118455752214</v>
      </c>
      <c r="N13" s="20">
        <f>G13+H13+I13</f>
        <v>3.2458257088434288</v>
      </c>
      <c r="O13" s="23">
        <f>1/N13</f>
        <v>0.30808801510057843</v>
      </c>
    </row>
    <row r="14" spans="1:15">
      <c r="A14" s="16" t="s">
        <v>21</v>
      </c>
      <c r="B14" s="17">
        <v>1000</v>
      </c>
      <c r="C14" s="16">
        <v>45.6</v>
      </c>
      <c r="D14" s="16"/>
      <c r="E14" s="16"/>
      <c r="F14" s="20">
        <f>100/C14/(1-H1)</f>
        <v>2.3572852371711819</v>
      </c>
      <c r="G14" s="20">
        <f>F14*'LC factor'!B7</f>
        <v>2.5284128404844592</v>
      </c>
      <c r="H14" s="20">
        <f>F14*'LC factor'!C7</f>
        <v>6.4318087809838069E-3</v>
      </c>
      <c r="I14" s="20">
        <f>F14*'LC factor'!D7</f>
        <v>3.476737023560493E-2</v>
      </c>
      <c r="J14" s="20">
        <f>F14*'LC factor'!L7</f>
        <v>209.31009992511062</v>
      </c>
      <c r="K14" s="20">
        <f>F14*'LC factor'!M7</f>
        <v>1.0301394184519996</v>
      </c>
      <c r="L14" s="20">
        <f>F14*'LC factor'!N7</f>
        <v>3.2586436883564546E-3</v>
      </c>
      <c r="M14" s="20">
        <f>J14+K14*23+L14*0.296</f>
        <v>233.00427110803838</v>
      </c>
      <c r="N14" s="20">
        <f>G14+H14+I14</f>
        <v>2.5696120195010477</v>
      </c>
      <c r="O14" s="23">
        <f>1/N14</f>
        <v>0.38916380854809912</v>
      </c>
    </row>
    <row r="15" spans="1:15" ht="14.25" thickBot="1">
      <c r="A15" s="18" t="s">
        <v>22</v>
      </c>
      <c r="B15" s="19" t="s">
        <v>23</v>
      </c>
      <c r="C15" s="18">
        <v>40.4</v>
      </c>
      <c r="D15" s="152"/>
      <c r="E15" s="152"/>
      <c r="F15" s="20">
        <f>100/C15/(1-H1)</f>
        <v>2.6606981884902452</v>
      </c>
      <c r="G15" s="20">
        <f>F15*'LC factor'!B7</f>
        <v>2.8538521169824591</v>
      </c>
      <c r="H15" s="20">
        <f>F15*'LC factor'!C7</f>
        <v>7.2596653567540007E-3</v>
      </c>
      <c r="I15" s="20">
        <f>F15*'LC factor'!D7</f>
        <v>3.92423782857323E-2</v>
      </c>
      <c r="J15" s="20">
        <f>F15*'LC factor'!L7</f>
        <v>236.25100387586744</v>
      </c>
      <c r="K15" s="20">
        <f>F15*'LC factor'!M7</f>
        <v>1.1627316208270095</v>
      </c>
      <c r="L15" s="20">
        <f>F15*'LC factor'!N7</f>
        <v>3.678073073986494E-3</v>
      </c>
      <c r="M15" s="20">
        <f>J15+K15*23+L15*0.296</f>
        <v>262.99491986451858</v>
      </c>
      <c r="N15" s="20">
        <f>G15+H15+I15</f>
        <v>2.9003541606249454</v>
      </c>
      <c r="O15" s="23">
        <f>1/N15</f>
        <v>0.34478547950314037</v>
      </c>
    </row>
    <row r="16" spans="1:15" ht="14.25" thickTop="1">
      <c r="F16" s="20"/>
      <c r="G16" s="20"/>
      <c r="H16" s="20"/>
      <c r="I16" s="20"/>
      <c r="J16" s="20"/>
      <c r="K16" s="20"/>
      <c r="L16" s="20"/>
      <c r="M16" s="20"/>
      <c r="N16" s="20"/>
    </row>
    <row r="17" spans="1:16">
      <c r="F17" s="20"/>
      <c r="G17" s="20"/>
      <c r="H17" s="20"/>
      <c r="I17" s="20"/>
      <c r="J17" s="20">
        <f>F18*'LC factor'!L7</f>
        <v>360.17134175792626</v>
      </c>
      <c r="K17" s="20"/>
      <c r="L17" s="20"/>
      <c r="M17" s="20"/>
      <c r="N17" s="20"/>
    </row>
    <row r="18" spans="1:16">
      <c r="A18" s="24" t="s">
        <v>283</v>
      </c>
      <c r="C18" s="152">
        <v>26.5</v>
      </c>
      <c r="D18" s="152"/>
      <c r="E18" s="152"/>
      <c r="F18" s="20">
        <f>100/C18/(1-H1)</f>
        <v>4.0563096911322987</v>
      </c>
      <c r="G18" s="20">
        <f>F18*'LC factor'!B7</f>
        <v>4.3507783217392966</v>
      </c>
      <c r="H18" s="20">
        <f>F18*'LC factor'!C7</f>
        <v>1.1067565298598552E-2</v>
      </c>
      <c r="I18" s="20">
        <f>F18*'LC factor'!D7</f>
        <v>5.982611632994661E-2</v>
      </c>
      <c r="J18" s="20">
        <f>F18*'LC factor'!G23</f>
        <v>62.122629534845444</v>
      </c>
      <c r="K18" s="20">
        <f>F18*'LC factor'!M7</f>
        <v>1.772617263449479</v>
      </c>
      <c r="L18" s="20">
        <f>F18*'LC factor'!N7</f>
        <v>5.6073264977001651E-3</v>
      </c>
      <c r="M18" s="20">
        <f>J18+K18*23+L18*0.296</f>
        <v>102.89448636282678</v>
      </c>
      <c r="N18" s="20">
        <f>G18+H18+I18</f>
        <v>4.4216720033678421</v>
      </c>
      <c r="O18" s="23">
        <f>1/N18</f>
        <v>0.22615879224834698</v>
      </c>
    </row>
    <row r="19" spans="1:16">
      <c r="C19" s="152"/>
      <c r="D19" s="152"/>
      <c r="E19" s="152"/>
      <c r="F19" s="20"/>
      <c r="G19" s="20"/>
      <c r="H19" s="20"/>
      <c r="I19" s="20"/>
      <c r="J19" s="20">
        <f>F20*'LC factor'!L7</f>
        <v>265.86463945919348</v>
      </c>
      <c r="K19" s="20"/>
      <c r="L19" s="20"/>
      <c r="M19" s="20"/>
      <c r="N19" s="20"/>
    </row>
    <row r="20" spans="1:16">
      <c r="A20" s="16" t="s">
        <v>83</v>
      </c>
      <c r="C20" s="152">
        <v>35.9</v>
      </c>
      <c r="D20" s="152"/>
      <c r="E20" s="152"/>
      <c r="F20" s="20">
        <f>100/C20/(1-H1)</f>
        <v>2.9942118889973792</v>
      </c>
      <c r="G20" s="20">
        <f>F20*'LC factor'!B7</f>
        <v>3.2115773127044949</v>
      </c>
      <c r="H20" s="20">
        <f>F20*'LC factor'!C7</f>
        <v>8.1696512649822185E-3</v>
      </c>
      <c r="I20" s="20">
        <f>F20*'LC factor'!D7</f>
        <v>4.4161339352189001E-2</v>
      </c>
      <c r="J20" s="20">
        <f>F20*'LC factor'!G23</f>
        <v>45.856537121821844</v>
      </c>
      <c r="K20" s="20">
        <f>F20*'LC factor'!M7</f>
        <v>1.3084779242732922</v>
      </c>
      <c r="L20" s="20">
        <f>F20*'LC factor'!N7</f>
        <v>4.1391128743469181E-3</v>
      </c>
      <c r="M20" s="20">
        <f>J20+K20*23+L20*0.296</f>
        <v>75.952754557518361</v>
      </c>
      <c r="N20" s="20">
        <f>G20+H20+I20</f>
        <v>3.2639083033216658</v>
      </c>
      <c r="O20" s="23">
        <f>1/N20</f>
        <v>0.30638115629115686</v>
      </c>
    </row>
    <row r="21" spans="1:16" ht="14.25" thickBot="1">
      <c r="A21" s="18"/>
      <c r="C21" s="152"/>
      <c r="D21" s="152"/>
      <c r="E21" s="152"/>
      <c r="F21" s="20"/>
      <c r="G21" s="20"/>
      <c r="H21" s="20"/>
      <c r="I21" s="20"/>
      <c r="J21" s="20">
        <f>F22*'LC factor'!L7</f>
        <v>290.99209013978799</v>
      </c>
      <c r="K21" s="20"/>
      <c r="L21" s="20"/>
      <c r="M21" s="20"/>
      <c r="N21" s="20"/>
      <c r="P21" t="s">
        <v>433</v>
      </c>
    </row>
    <row r="22" spans="1:16" ht="14.25" thickTop="1">
      <c r="A22" s="24" t="s">
        <v>67</v>
      </c>
      <c r="C22" s="152">
        <v>32.799999999999997</v>
      </c>
      <c r="D22" s="152"/>
      <c r="E22" s="152"/>
      <c r="F22" s="20">
        <f>100/C22/(1-H1)</f>
        <v>3.2772014272867658</v>
      </c>
      <c r="G22" s="20">
        <f>F22*'LC factor'!B7</f>
        <v>3.5151105343320541</v>
      </c>
      <c r="H22" s="20">
        <f>F22*'LC factor'!C7</f>
        <v>8.9417829394165139E-3</v>
      </c>
      <c r="I22" s="20">
        <f>F22*'LC factor'!D7</f>
        <v>4.8335124473889796E-2</v>
      </c>
      <c r="J22" s="20">
        <f>F22*'LC factor'!G24</f>
        <v>60.892830262958327</v>
      </c>
      <c r="K22" s="20">
        <f>F22*'LC factor'!M7</f>
        <v>1.4321450451649753</v>
      </c>
      <c r="L22" s="20">
        <f>F22*'LC factor'!N7</f>
        <v>4.5303095179589749E-3</v>
      </c>
      <c r="M22" s="20">
        <f>J22+K22*23+L22*0.296</f>
        <v>93.83350727337006</v>
      </c>
      <c r="N22" s="20">
        <f>G22+H22+I22</f>
        <v>3.5723874417453603</v>
      </c>
      <c r="O22" s="23">
        <f>1/N22</f>
        <v>0.2799248447451238</v>
      </c>
      <c r="P22">
        <f>1/N22*100</f>
        <v>27.992484474512381</v>
      </c>
    </row>
    <row r="23" spans="1:16">
      <c r="F23" s="20"/>
      <c r="G23" s="20"/>
      <c r="H23" s="20"/>
      <c r="I23" s="20"/>
      <c r="J23" s="20"/>
      <c r="K23" s="20"/>
      <c r="L23" s="20"/>
      <c r="M23" s="20"/>
      <c r="N23" s="20"/>
    </row>
    <row r="26" spans="1:16">
      <c r="D26" s="32" t="s">
        <v>94</v>
      </c>
      <c r="E26" s="32" t="s">
        <v>95</v>
      </c>
    </row>
    <row r="27" spans="1:16">
      <c r="C27" s="138" t="s">
        <v>282</v>
      </c>
      <c r="D27" s="20">
        <f>J17-J18</f>
        <v>298.04871222308083</v>
      </c>
      <c r="E27" s="23">
        <f>D27/J17</f>
        <v>0.82751923228639745</v>
      </c>
      <c r="F27" s="20">
        <f>D27/1000/1000*'CO2 t&amp;s'!A5</f>
        <v>7.8610347848837563E-3</v>
      </c>
      <c r="G27" s="20">
        <f>D27/1000000*'CO2 t&amp;s'!E6</f>
        <v>1.8924049628610308E-2</v>
      </c>
      <c r="H27" s="20">
        <f>D27/1000000*'CO2 t&amp;s'!F6</f>
        <v>1.4714158517108334E-3</v>
      </c>
      <c r="I27" s="20">
        <f>D27/1000000*'CO2 t&amp;s'!G6</f>
        <v>5.3497772740264079E-4</v>
      </c>
      <c r="J27" s="20"/>
      <c r="K27" s="20"/>
      <c r="L27" s="20"/>
      <c r="M27" s="20"/>
      <c r="N27" s="20"/>
      <c r="O27" s="23"/>
    </row>
    <row r="28" spans="1:16">
      <c r="C28" s="16" t="s">
        <v>82</v>
      </c>
      <c r="D28" s="20">
        <f>J19-J20</f>
        <v>220.00810233737164</v>
      </c>
      <c r="E28" s="23">
        <f>D28/J19</f>
        <v>0.82751923228639745</v>
      </c>
      <c r="F28" s="20">
        <f>D28/1000/1000*'CO2 t&amp;s'!A5</f>
        <v>5.802713699148177E-3</v>
      </c>
      <c r="G28" s="20">
        <f>D28/1000000*'CO2 t&amp;s'!E6</f>
        <v>1.3969005993263877E-2</v>
      </c>
      <c r="H28" s="20">
        <f>D28/1000000*'CO2 t&amp;s'!F6</f>
        <v>1.0861426203436515E-3</v>
      </c>
      <c r="I28" s="20">
        <f>D28/1000000*'CO2 t&amp;s'!G6</f>
        <v>3.9489999376518054E-4</v>
      </c>
      <c r="J28" s="20"/>
      <c r="K28" s="20"/>
      <c r="L28" s="20"/>
      <c r="M28" s="20"/>
      <c r="N28" s="20"/>
    </row>
    <row r="29" spans="1:16">
      <c r="C29" s="24" t="s">
        <v>67</v>
      </c>
      <c r="D29" s="20">
        <f>J21-J22</f>
        <v>230.09925987682965</v>
      </c>
      <c r="E29" s="23">
        <f>D29/J21</f>
        <v>0.79074059974033528</v>
      </c>
      <c r="F29" s="20">
        <f>D29/1000/1000*'CO2 t&amp;s'!A5</f>
        <v>6.0688679792513817E-3</v>
      </c>
      <c r="G29" s="20">
        <f>D29/1000000*'CO2 t&amp;s'!E6</f>
        <v>1.4609725306098539E-2</v>
      </c>
      <c r="H29" s="20">
        <f>D29/1000000*'CO2 t&amp;s'!F6</f>
        <v>1.1359609505586007E-3</v>
      </c>
      <c r="I29" s="20">
        <f>D29/1000000*'CO2 t&amp;s'!G6</f>
        <v>4.1301295418381376E-4</v>
      </c>
      <c r="J29" s="20"/>
      <c r="K29" s="20"/>
      <c r="L29" s="20"/>
      <c r="M29" s="20"/>
      <c r="N29" s="20"/>
    </row>
    <row r="32" spans="1:16">
      <c r="G32" s="20">
        <f>G18+G27</f>
        <v>4.3697023713679073</v>
      </c>
      <c r="H32" s="20">
        <f>H18+H27</f>
        <v>1.2538981150309386E-2</v>
      </c>
      <c r="I32" s="20">
        <f>I18+I27</f>
        <v>6.0361094057349254E-2</v>
      </c>
      <c r="M32" s="20">
        <f>M18+M27</f>
        <v>102.89448636282678</v>
      </c>
      <c r="N32" s="20">
        <f>N18+N27</f>
        <v>4.4216720033678421</v>
      </c>
    </row>
    <row r="33" spans="7:14">
      <c r="G33" s="20">
        <f>G20+G28</f>
        <v>3.2255463186977589</v>
      </c>
      <c r="H33" s="20">
        <f>H20+H28</f>
        <v>9.2557938853258699E-3</v>
      </c>
      <c r="I33" s="20">
        <f>I20+I28</f>
        <v>4.4556239345954179E-2</v>
      </c>
      <c r="M33" s="20">
        <f>M20+M28</f>
        <v>75.952754557518361</v>
      </c>
      <c r="N33" s="20">
        <f>N20+N28</f>
        <v>3.2639083033216658</v>
      </c>
    </row>
    <row r="34" spans="7:14">
      <c r="G34" s="20">
        <f>G22+G29</f>
        <v>3.5297202596381525</v>
      </c>
      <c r="H34" s="20">
        <f>H22+H29</f>
        <v>1.0077743889975115E-2</v>
      </c>
      <c r="I34" s="20">
        <f>I22+I29</f>
        <v>4.8748137428073608E-2</v>
      </c>
      <c r="M34" s="20">
        <f>M22+M29</f>
        <v>93.83350727337006</v>
      </c>
      <c r="N34" s="20">
        <f>N22+N29</f>
        <v>3.5723874417453603</v>
      </c>
    </row>
    <row r="35" spans="7:14" ht="14.25" thickBot="1"/>
    <row r="36" spans="7:14">
      <c r="M36" s="170">
        <f t="shared" ref="M36:N38" si="0">M27/M32</f>
        <v>0</v>
      </c>
      <c r="N36" s="171">
        <f t="shared" si="0"/>
        <v>0</v>
      </c>
    </row>
    <row r="37" spans="7:14">
      <c r="M37" s="172">
        <f t="shared" si="0"/>
        <v>0</v>
      </c>
      <c r="N37" s="65">
        <f t="shared" si="0"/>
        <v>0</v>
      </c>
    </row>
    <row r="38" spans="7:14">
      <c r="M38" s="172">
        <f t="shared" si="0"/>
        <v>0</v>
      </c>
      <c r="N38" s="65">
        <f t="shared" si="0"/>
        <v>0</v>
      </c>
    </row>
    <row r="39" spans="7:14" ht="14.25" thickBot="1">
      <c r="M39" s="149" t="s">
        <v>333</v>
      </c>
      <c r="N39" s="173" t="s">
        <v>334</v>
      </c>
    </row>
  </sheetData>
  <phoneticPr fontId="9" type="noConversion"/>
  <pageMargins left="0.7" right="0.7" top="0.75" bottom="0.75" header="0.3" footer="0.3"/>
  <legacyDrawing r:id="rId1"/>
  <oleObjects>
    <oleObject progId="Equation.DSMT4" shapeId="4097" r:id="rId2"/>
  </oleObjects>
</worksheet>
</file>

<file path=xl/worksheets/sheet28.xml><?xml version="1.0" encoding="utf-8"?>
<worksheet xmlns="http://schemas.openxmlformats.org/spreadsheetml/2006/main" xmlns:r="http://schemas.openxmlformats.org/officeDocument/2006/relationships">
  <dimension ref="A1:O34"/>
  <sheetViews>
    <sheetView workbookViewId="0">
      <selection activeCell="J25" sqref="J25"/>
    </sheetView>
  </sheetViews>
  <sheetFormatPr defaultRowHeight="13.5"/>
  <cols>
    <col min="3" max="5" width="22.875" customWidth="1"/>
    <col min="7" max="7" width="13.875" customWidth="1"/>
    <col min="10" max="10" width="9.5" bestFit="1" customWidth="1"/>
  </cols>
  <sheetData>
    <row r="1" spans="1:15">
      <c r="G1" s="6" t="s">
        <v>99</v>
      </c>
      <c r="H1" s="23">
        <v>3.8999999999999998E-3</v>
      </c>
      <c r="I1" s="6"/>
    </row>
    <row r="2" spans="1:15" ht="24">
      <c r="G2" s="24" t="s">
        <v>57</v>
      </c>
      <c r="H2" s="23">
        <v>3.8999999999999998E-3</v>
      </c>
    </row>
    <row r="8" spans="1:15">
      <c r="C8" s="44" t="s">
        <v>102</v>
      </c>
      <c r="D8" s="44"/>
      <c r="E8" s="44"/>
      <c r="F8" s="29">
        <v>0</v>
      </c>
      <c r="G8" s="28" t="s">
        <v>84</v>
      </c>
    </row>
    <row r="9" spans="1:15">
      <c r="C9" s="32"/>
      <c r="D9" s="136"/>
      <c r="E9" s="136"/>
      <c r="G9" s="32"/>
    </row>
    <row r="10" spans="1:15" ht="14.25" thickBot="1"/>
    <row r="11" spans="1:15" ht="16.5" thickBot="1">
      <c r="A11" s="11"/>
      <c r="F11" s="36"/>
      <c r="G11" s="37" t="s">
        <v>47</v>
      </c>
      <c r="H11" s="37"/>
      <c r="I11" s="38"/>
      <c r="J11" s="36" t="s">
        <v>49</v>
      </c>
      <c r="K11" s="37" t="s">
        <v>49</v>
      </c>
      <c r="L11" s="38" t="s">
        <v>51</v>
      </c>
      <c r="M11" s="36"/>
      <c r="N11" s="38"/>
      <c r="O11" s="32" t="s">
        <v>96</v>
      </c>
    </row>
    <row r="12" spans="1:15" ht="15" thickTop="1" thickBot="1">
      <c r="A12" s="15" t="s">
        <v>12</v>
      </c>
      <c r="B12" s="15"/>
      <c r="C12" s="15" t="s">
        <v>20</v>
      </c>
      <c r="D12" s="155"/>
      <c r="E12" s="155"/>
      <c r="F12" s="45" t="s">
        <v>59</v>
      </c>
      <c r="G12" s="46" t="s">
        <v>60</v>
      </c>
      <c r="H12" s="46" t="s">
        <v>33</v>
      </c>
      <c r="I12" s="43" t="s">
        <v>35</v>
      </c>
      <c r="J12" s="41" t="s">
        <v>38</v>
      </c>
      <c r="K12" s="42" t="s">
        <v>42</v>
      </c>
      <c r="L12" s="43" t="s">
        <v>44</v>
      </c>
      <c r="M12" s="41" t="s">
        <v>53</v>
      </c>
      <c r="N12" s="43" t="s">
        <v>74</v>
      </c>
    </row>
    <row r="13" spans="1:15">
      <c r="A13" s="47" t="s">
        <v>100</v>
      </c>
      <c r="B13" s="17"/>
      <c r="C13" s="16">
        <v>51</v>
      </c>
      <c r="D13" s="16"/>
      <c r="E13" s="16"/>
      <c r="F13" s="20">
        <f>100/C13/(1-H2)</f>
        <v>1.9684613128455879</v>
      </c>
      <c r="G13" s="20">
        <f>F13*'LC factor'!B7</f>
        <v>2.1113621639476858</v>
      </c>
      <c r="H13" s="20">
        <f>F13*'LC factor'!C7</f>
        <v>5.3709099591954731E-3</v>
      </c>
      <c r="I13" s="20">
        <f>F13*'LC factor'!D7</f>
        <v>2.9032644068265397E-2</v>
      </c>
      <c r="J13" s="20">
        <f>F13*'LC factor'!L7</f>
        <v>174.78531133757079</v>
      </c>
      <c r="K13" s="20">
        <f>F13*'LC factor'!M7</f>
        <v>0.86022241181700454</v>
      </c>
      <c r="L13" s="20">
        <f>F13*'LC factor'!N7</f>
        <v>2.7211446165826582E-3</v>
      </c>
      <c r="M13" s="20">
        <f>J13+K13*23+L13*0.296</f>
        <v>194.57123226816839</v>
      </c>
      <c r="N13" s="20">
        <f>G13+H13+I13</f>
        <v>2.1457657179751468</v>
      </c>
      <c r="O13" s="23">
        <f>1/N13</f>
        <v>0.46603410224283509</v>
      </c>
    </row>
    <row r="14" spans="1:15" ht="14.25" thickBot="1">
      <c r="A14" s="48" t="s">
        <v>101</v>
      </c>
      <c r="B14" s="19"/>
      <c r="C14" s="18">
        <v>51</v>
      </c>
      <c r="D14" s="152"/>
      <c r="E14" s="152"/>
      <c r="F14" s="20">
        <f>100/C14/(1-H2)</f>
        <v>1.9684613128455879</v>
      </c>
      <c r="G14" s="20">
        <f>F14*'LC factor'!B7</f>
        <v>2.1113621639476858</v>
      </c>
      <c r="H14" s="20">
        <f>F14*'LC factor'!C7</f>
        <v>5.3709099591954731E-3</v>
      </c>
      <c r="I14" s="20">
        <f>F14*'LC factor'!D7</f>
        <v>2.9032644068265397E-2</v>
      </c>
      <c r="J14" s="20">
        <f>F14*'LC factor'!L7</f>
        <v>174.78531133757079</v>
      </c>
      <c r="K14" s="20">
        <f>F14*'LC factor'!M7</f>
        <v>0.86022241181700454</v>
      </c>
      <c r="L14" s="20">
        <f>F14*'LC factor'!N7</f>
        <v>2.7211446165826582E-3</v>
      </c>
      <c r="M14" s="20">
        <f>J14+K14*23+L14*0.296</f>
        <v>194.57123226816839</v>
      </c>
      <c r="N14" s="20">
        <f>G14+H14+I14</f>
        <v>2.1457657179751468</v>
      </c>
      <c r="O14" s="23">
        <f>1/N14</f>
        <v>0.46603410224283509</v>
      </c>
    </row>
    <row r="15" spans="1:15" ht="14.25" thickTop="1">
      <c r="F15" s="20"/>
      <c r="G15" s="20"/>
      <c r="H15" s="20"/>
      <c r="I15" s="20"/>
      <c r="J15" s="20"/>
      <c r="K15" s="20"/>
      <c r="L15" s="20"/>
      <c r="M15" s="20"/>
      <c r="N15" s="20"/>
    </row>
    <row r="16" spans="1:15">
      <c r="F16" s="20"/>
      <c r="G16" s="20"/>
      <c r="H16" s="20"/>
      <c r="I16" s="20"/>
      <c r="J16" s="20">
        <f>F17*'LC factor'!O7</f>
        <v>196.29168253409165</v>
      </c>
      <c r="K16" s="20"/>
      <c r="L16" s="20"/>
      <c r="M16" s="20"/>
      <c r="N16" s="20"/>
    </row>
    <row r="17" spans="1:15">
      <c r="A17" s="47" t="s">
        <v>118</v>
      </c>
      <c r="C17" s="16">
        <f>C13-F8</f>
        <v>51</v>
      </c>
      <c r="D17" s="16"/>
      <c r="E17" s="16"/>
      <c r="F17" s="20">
        <f>100/C17/(1-H2)</f>
        <v>1.9684613128455879</v>
      </c>
      <c r="G17" s="20">
        <f>F17*'LC factor'!B7</f>
        <v>2.1113621639476858</v>
      </c>
      <c r="H17" s="20">
        <f>F17*'LC factor'!C7</f>
        <v>5.3709099591954731E-3</v>
      </c>
      <c r="I17" s="20">
        <f>F17*'LC factor'!D7</f>
        <v>2.9032644068265397E-2</v>
      </c>
      <c r="J17" s="20">
        <f>F17*'LC factor'!L7</f>
        <v>174.78531133757079</v>
      </c>
      <c r="K17" s="20">
        <f>F17*'LC factor'!M7</f>
        <v>0.86022241181700454</v>
      </c>
      <c r="L17" s="20">
        <f>F17*'LC factor'!N7</f>
        <v>2.7211446165826582E-3</v>
      </c>
      <c r="M17" s="20">
        <f>J17-J19*0.74+K17*23+L17*0.296</f>
        <v>123.19118857569718</v>
      </c>
      <c r="N17" s="20">
        <f>G17+H17+I17</f>
        <v>2.1457657179751468</v>
      </c>
      <c r="O17" s="23">
        <f>1/N17</f>
        <v>0.46603410224283509</v>
      </c>
    </row>
    <row r="18" spans="1:15">
      <c r="A18" s="47"/>
      <c r="C18" s="16"/>
      <c r="D18" s="16"/>
      <c r="E18" s="16"/>
      <c r="F18" s="20"/>
      <c r="G18" s="20"/>
      <c r="H18" s="20"/>
      <c r="I18" t="s">
        <v>69</v>
      </c>
      <c r="J18" s="20">
        <f>(1+H1)*64</f>
        <v>64.249600000000001</v>
      </c>
      <c r="K18" s="20"/>
      <c r="L18" s="20"/>
      <c r="M18" s="20"/>
      <c r="N18" s="20"/>
      <c r="O18" s="23"/>
    </row>
    <row r="19" spans="1:15">
      <c r="A19" s="47"/>
      <c r="C19" s="16"/>
      <c r="D19" s="16"/>
      <c r="E19" s="16"/>
      <c r="F19" s="20"/>
      <c r="G19" s="20"/>
      <c r="H19" s="20"/>
      <c r="I19" t="s">
        <v>70</v>
      </c>
      <c r="J19" s="20">
        <f>F17*('LC factor'!L7-'LC factor'!E7)-J18</f>
        <v>96.459518503339481</v>
      </c>
      <c r="K19" s="20"/>
      <c r="L19" s="20"/>
      <c r="M19" s="20"/>
      <c r="N19" s="20"/>
      <c r="O19" s="23"/>
    </row>
    <row r="20" spans="1:15">
      <c r="A20" s="47"/>
      <c r="C20" s="16"/>
      <c r="D20" s="16"/>
      <c r="E20" s="16"/>
      <c r="F20" s="20"/>
      <c r="G20" s="20"/>
      <c r="H20" s="20"/>
      <c r="I20" s="20"/>
      <c r="J20" s="20"/>
      <c r="K20" s="20"/>
      <c r="L20" s="20"/>
      <c r="M20" s="20"/>
      <c r="N20" s="20"/>
      <c r="O20" s="23"/>
    </row>
    <row r="21" spans="1:15" ht="14.25" thickBot="1">
      <c r="A21" s="18"/>
      <c r="C21" s="16"/>
      <c r="D21" s="16"/>
      <c r="E21" s="16"/>
      <c r="F21" s="20"/>
      <c r="G21" s="20"/>
      <c r="H21" s="20"/>
      <c r="I21" s="20"/>
      <c r="J21" s="20">
        <f>F22*'LC factor'!O7</f>
        <v>196.29168253409165</v>
      </c>
      <c r="K21" s="20"/>
      <c r="L21" s="20"/>
      <c r="M21" s="20"/>
      <c r="N21" s="20"/>
    </row>
    <row r="22" spans="1:15" ht="14.25" thickTop="1">
      <c r="A22" s="49" t="s">
        <v>119</v>
      </c>
      <c r="C22" s="16">
        <f>C14-F8</f>
        <v>51</v>
      </c>
      <c r="D22" s="16"/>
      <c r="E22" s="16"/>
      <c r="F22" s="20">
        <f>100/C22/(1-H2)</f>
        <v>1.9684613128455879</v>
      </c>
      <c r="G22" s="20">
        <f>F22*'LC factor'!B7</f>
        <v>2.1113621639476858</v>
      </c>
      <c r="H22" s="20">
        <f>F22*'LC factor'!C7</f>
        <v>5.3709099591954731E-3</v>
      </c>
      <c r="I22" s="20">
        <f>F22*'LC factor'!D7</f>
        <v>2.9032644068265397E-2</v>
      </c>
      <c r="J22" s="20">
        <f>F22*'LC factor'!L7</f>
        <v>174.78531133757079</v>
      </c>
      <c r="K22" s="20">
        <f>F22*'LC factor'!M7</f>
        <v>0.86022241181700454</v>
      </c>
      <c r="L22" s="20">
        <f>F22*'LC factor'!N7</f>
        <v>2.7211446165826582E-3</v>
      </c>
      <c r="M22" s="20">
        <f>J22-J24*0.74+K22*23+L22*0.296</f>
        <v>123.00648457569719</v>
      </c>
      <c r="N22" s="20">
        <f>G22+H22+I22</f>
        <v>2.1457657179751468</v>
      </c>
      <c r="O22" s="23">
        <f>1/N22</f>
        <v>0.46603410224283509</v>
      </c>
    </row>
    <row r="23" spans="1:15">
      <c r="F23" s="20"/>
      <c r="G23" s="20"/>
      <c r="H23" s="20"/>
      <c r="I23" t="s">
        <v>69</v>
      </c>
      <c r="J23" s="20">
        <f>(1+H6)*64</f>
        <v>64</v>
      </c>
      <c r="K23" s="20"/>
      <c r="L23" s="20"/>
      <c r="M23" s="20"/>
      <c r="N23" s="20"/>
    </row>
    <row r="24" spans="1:15">
      <c r="I24" t="s">
        <v>70</v>
      </c>
      <c r="J24" s="20">
        <f>F22*('LC factor'!L7-'LC factor'!E7)-J23</f>
        <v>96.709118503339482</v>
      </c>
    </row>
    <row r="26" spans="1:15">
      <c r="D26" s="32" t="s">
        <v>94</v>
      </c>
      <c r="E26" s="32" t="s">
        <v>95</v>
      </c>
    </row>
    <row r="27" spans="1:15">
      <c r="B27" s="16" t="s">
        <v>332</v>
      </c>
      <c r="D27" s="20">
        <f>J16-M17</f>
        <v>73.100493958394466</v>
      </c>
      <c r="E27" s="23">
        <f>D27/J16</f>
        <v>0.37240749589936639</v>
      </c>
      <c r="F27" s="151">
        <f>D27/1000/1000*'CO2 t&amp;s'!A5</f>
        <v>1.9280255281526541E-3</v>
      </c>
      <c r="G27" s="151">
        <f>D27/1000000*'CO2 t&amp;s'!E6</f>
        <v>4.6413801463070304E-3</v>
      </c>
      <c r="H27" s="151">
        <f>D27/1000000*'CO2 t&amp;s'!F6</f>
        <v>3.6088471839384149E-4</v>
      </c>
      <c r="I27" s="151">
        <f>D27/1000000*'CO2 t&amp;s'!G6</f>
        <v>1.3121055225563861E-4</v>
      </c>
      <c r="J27" s="151">
        <f>D27/1000000*'CO2 t&amp;s'!H6</f>
        <v>0.40912993378646012</v>
      </c>
      <c r="K27" s="151">
        <f>D27/1000000*'CO2 t&amp;s'!I6</f>
        <v>1.9172823664026337E-3</v>
      </c>
      <c r="L27" s="151">
        <f>D27/1000000*'CO2 t&amp;s'!J6</f>
        <v>6.441281635395733E-6</v>
      </c>
      <c r="M27" s="151">
        <f>J27+K27*23+L27*0.296</f>
        <v>0.45322933483308475</v>
      </c>
      <c r="N27" s="151">
        <f>G27+H27+I27</f>
        <v>5.1334754169565103E-3</v>
      </c>
    </row>
    <row r="28" spans="1:15">
      <c r="B28" s="24" t="s">
        <v>331</v>
      </c>
      <c r="D28" s="20">
        <f>J21-M22</f>
        <v>73.285197958394463</v>
      </c>
      <c r="E28" s="23">
        <f>D28/J21</f>
        <v>0.37334846292158302</v>
      </c>
      <c r="F28" s="151">
        <f>D28/1000/1000*'CO2 t&amp;s'!A5</f>
        <v>1.9328970961526538E-3</v>
      </c>
      <c r="G28" s="151">
        <f>D28/1000000*'CO2 t&amp;s'!E6</f>
        <v>4.653107583867595E-3</v>
      </c>
      <c r="H28" s="151">
        <f>D28/1000000*'CO2 t&amp;s'!F6</f>
        <v>3.6179657065935636E-4</v>
      </c>
      <c r="I28" s="151">
        <f>D28/1000000*'CO2 t&amp;s'!G6</f>
        <v>1.3154208372049601E-4</v>
      </c>
      <c r="J28" s="151">
        <f>D28/1000000*'CO2 t&amp;s'!H6</f>
        <v>0.41016368788575669</v>
      </c>
      <c r="K28" s="151">
        <f>D28/1000000*'CO2 t&amp;s'!I6</f>
        <v>1.9221267895115335E-3</v>
      </c>
      <c r="L28" s="151">
        <f>D28/1000000*'CO2 t&amp;s'!J6</f>
        <v>6.4575569082257815E-6</v>
      </c>
      <c r="M28" s="151">
        <f>J28+K28*23+L28*0.296</f>
        <v>0.45437451548136681</v>
      </c>
      <c r="N28" s="151">
        <f>G28+H28+I28</f>
        <v>5.1464462382474476E-3</v>
      </c>
    </row>
    <row r="30" spans="1:15">
      <c r="G30" s="20">
        <f>G17+G27</f>
        <v>2.116003544093993</v>
      </c>
      <c r="H30" s="20">
        <f t="shared" ref="H30:N30" si="0">H17+H27</f>
        <v>5.7317946775893146E-3</v>
      </c>
      <c r="I30" s="20">
        <f t="shared" si="0"/>
        <v>2.9163854620521037E-2</v>
      </c>
      <c r="J30" s="20">
        <f t="shared" si="0"/>
        <v>175.19444127135725</v>
      </c>
      <c r="K30" s="20">
        <f t="shared" si="0"/>
        <v>0.86213969418340719</v>
      </c>
      <c r="L30" s="20">
        <f t="shared" si="0"/>
        <v>2.727585898218054E-3</v>
      </c>
      <c r="M30" s="20">
        <f>M17+M27</f>
        <v>123.64441791053027</v>
      </c>
      <c r="N30" s="20">
        <f t="shared" si="0"/>
        <v>2.1508991933921031</v>
      </c>
    </row>
    <row r="31" spans="1:15">
      <c r="G31" s="20">
        <f>G22+G28</f>
        <v>2.1160152715315532</v>
      </c>
      <c r="H31" s="20">
        <f t="shared" ref="H31:N31" si="1">H22+H28</f>
        <v>5.7327065298548299E-3</v>
      </c>
      <c r="I31" s="20">
        <f t="shared" si="1"/>
        <v>2.9164186151985894E-2</v>
      </c>
      <c r="J31" s="20">
        <f t="shared" si="1"/>
        <v>175.19547502545655</v>
      </c>
      <c r="K31" s="20">
        <f t="shared" si="1"/>
        <v>0.86214453860651608</v>
      </c>
      <c r="L31" s="20">
        <f t="shared" si="1"/>
        <v>2.727602173490884E-3</v>
      </c>
      <c r="M31" s="20">
        <f t="shared" si="1"/>
        <v>123.46085909117855</v>
      </c>
      <c r="N31" s="20">
        <f t="shared" si="1"/>
        <v>2.1509121642133944</v>
      </c>
    </row>
    <row r="33" spans="13:14">
      <c r="M33" s="23">
        <f>M27/M30</f>
        <v>3.6655867081766993E-3</v>
      </c>
      <c r="N33" s="23">
        <f>N27/N30</f>
        <v>2.3866648110368654E-3</v>
      </c>
    </row>
    <row r="34" spans="13:14">
      <c r="M34" s="23">
        <f>M28/M31</f>
        <v>3.6803122773169856E-3</v>
      </c>
      <c r="N34" s="23">
        <f>N28/N31</f>
        <v>2.3926808002081032E-3</v>
      </c>
    </row>
  </sheetData>
  <phoneticPr fontId="22" type="noConversion"/>
  <pageMargins left="0.7" right="0.7" top="0.75" bottom="0.75" header="0.3" footer="0.3"/>
  <legacyDrawing r:id="rId1"/>
  <oleObjects>
    <oleObject progId="Equation.DSMT4" shapeId="534529" r:id="rId2"/>
  </oleObjects>
</worksheet>
</file>

<file path=xl/worksheets/sheet29.xml><?xml version="1.0" encoding="utf-8"?>
<worksheet xmlns="http://schemas.openxmlformats.org/spreadsheetml/2006/main" xmlns:r="http://schemas.openxmlformats.org/officeDocument/2006/relationships">
  <dimension ref="A1:K45"/>
  <sheetViews>
    <sheetView topLeftCell="A28" workbookViewId="0">
      <selection activeCell="J25" sqref="J25"/>
    </sheetView>
  </sheetViews>
  <sheetFormatPr defaultRowHeight="13.5"/>
  <cols>
    <col min="1" max="1" width="15.5" customWidth="1"/>
    <col min="7" max="7" width="8.875" style="51" customWidth="1"/>
  </cols>
  <sheetData>
    <row r="1" spans="1:7" ht="14.25" thickBot="1">
      <c r="B1" s="32" t="s">
        <v>117</v>
      </c>
      <c r="G1" s="50" t="s">
        <v>116</v>
      </c>
    </row>
    <row r="2" spans="1:7" ht="14.25" thickBot="1">
      <c r="B2" s="1" t="s">
        <v>113</v>
      </c>
      <c r="C2" s="2" t="s">
        <v>114</v>
      </c>
      <c r="D2" s="2" t="s">
        <v>115</v>
      </c>
      <c r="E2" s="30" t="s">
        <v>120</v>
      </c>
      <c r="F2" s="30"/>
      <c r="G2" s="50" t="s">
        <v>121</v>
      </c>
    </row>
    <row r="3" spans="1:7" ht="27">
      <c r="B3" s="30" t="s">
        <v>136</v>
      </c>
      <c r="C3" s="30" t="s">
        <v>136</v>
      </c>
      <c r="D3" s="30" t="s">
        <v>136</v>
      </c>
      <c r="E3" s="30" t="s">
        <v>136</v>
      </c>
      <c r="F3" s="30"/>
      <c r="G3" s="30" t="s">
        <v>163</v>
      </c>
    </row>
    <row r="4" spans="1:7">
      <c r="B4" s="30"/>
      <c r="C4" s="30"/>
      <c r="D4" s="30"/>
      <c r="E4" s="30"/>
      <c r="F4" s="30"/>
      <c r="G4" s="50"/>
    </row>
    <row r="5" spans="1:7">
      <c r="A5" s="4" t="s">
        <v>6</v>
      </c>
      <c r="B5" s="20">
        <f>'LC factor'!B10</f>
        <v>7.4260045413688622E-2</v>
      </c>
      <c r="C5" s="20">
        <f>'LC factor'!C10</f>
        <v>5.0176246572035947E-2</v>
      </c>
      <c r="D5" s="20">
        <f>'LC factor'!D10</f>
        <v>1.1536512570529016</v>
      </c>
      <c r="E5" s="20">
        <f t="shared" ref="E5:E13" si="0">SUM(B5:D5)</f>
        <v>1.2780875490386261</v>
      </c>
      <c r="F5" s="20"/>
      <c r="G5" s="51">
        <f>'LC factor'!O10</f>
        <v>91.001421303389492</v>
      </c>
    </row>
    <row r="6" spans="1:7">
      <c r="A6" s="4" t="s">
        <v>5</v>
      </c>
      <c r="B6" s="20">
        <f>'LC factor'!B9</f>
        <v>7.2286083298277556E-2</v>
      </c>
      <c r="C6" s="20">
        <f>'LC factor'!C9</f>
        <v>4.9578985063534531E-2</v>
      </c>
      <c r="D6" s="20">
        <f>'LC factor'!D9</f>
        <v>1.1472286156546083</v>
      </c>
      <c r="E6" s="20">
        <f t="shared" si="0"/>
        <v>1.2690936840164204</v>
      </c>
      <c r="F6" s="20"/>
      <c r="G6" s="51">
        <f>'LC factor'!O9</f>
        <v>93.100430294232638</v>
      </c>
    </row>
    <row r="7" spans="1:7">
      <c r="A7" s="390" t="s">
        <v>132</v>
      </c>
      <c r="B7" s="391">
        <f>'NG-based'!U13/1000</f>
        <v>7.7365959734621334E-2</v>
      </c>
      <c r="C7" s="391">
        <f>'NG-based'!U14/1000</f>
        <v>1.1123149031608779</v>
      </c>
      <c r="D7" s="391">
        <f>'NG-based'!U15/1000</f>
        <v>6.9584498300473323E-3</v>
      </c>
      <c r="E7" s="391">
        <f t="shared" si="0"/>
        <v>1.1966393127255464</v>
      </c>
      <c r="F7" s="391"/>
      <c r="G7" s="392">
        <f>'NG-based'!U21</f>
        <v>73.131630153330718</v>
      </c>
    </row>
    <row r="8" spans="1:7">
      <c r="A8" s="390" t="s">
        <v>513</v>
      </c>
      <c r="B8" s="391">
        <f>'NG-based'!AE13/1000</f>
        <v>1.5106433878812305E-2</v>
      </c>
      <c r="C8" s="391">
        <f>'NG-based'!AE14/1000</f>
        <v>1.2064432572053265</v>
      </c>
      <c r="D8" s="391">
        <f>'NG-based'!AE15/1000</f>
        <v>3.8799992783467838E-2</v>
      </c>
      <c r="E8" s="391">
        <f t="shared" si="0"/>
        <v>1.2603496838676067</v>
      </c>
      <c r="F8" s="391"/>
      <c r="G8" s="392">
        <f>'NG-based'!AE21</f>
        <v>75.320969005514741</v>
      </c>
    </row>
    <row r="9" spans="1:7">
      <c r="A9" s="390" t="s">
        <v>514</v>
      </c>
      <c r="B9" s="391">
        <f>'NG-based'!BG13/1000</f>
        <v>4.7418699158705252E-2</v>
      </c>
      <c r="C9" s="391">
        <f>'NG-based'!BG14/1000</f>
        <v>2.0332696711451637</v>
      </c>
      <c r="D9" s="391">
        <f>'NG-based'!BG15/1000</f>
        <v>5.6395690234496303E-2</v>
      </c>
      <c r="E9" s="391">
        <f t="shared" si="0"/>
        <v>2.1370840605383652</v>
      </c>
      <c r="F9" s="391"/>
      <c r="G9" s="392">
        <f>'NG-based'!BG21</f>
        <v>143.56466220472174</v>
      </c>
    </row>
    <row r="10" spans="1:7">
      <c r="A10" s="20" t="s">
        <v>103</v>
      </c>
      <c r="B10" s="20">
        <f>CtL!J8</f>
        <v>2.6381662095325509</v>
      </c>
      <c r="C10" s="20">
        <f>CtL!K8</f>
        <v>7.2488961071699764E-3</v>
      </c>
      <c r="D10" s="20">
        <f>CtL!L8</f>
        <v>4.5473769159221675E-2</v>
      </c>
      <c r="E10" s="20">
        <f t="shared" si="0"/>
        <v>2.6908888747989423</v>
      </c>
      <c r="F10" s="20"/>
      <c r="G10" s="20">
        <f>CtL!P8</f>
        <v>245.78480540695421</v>
      </c>
    </row>
    <row r="11" spans="1:7">
      <c r="A11" s="179" t="s">
        <v>129</v>
      </c>
      <c r="B11" s="176">
        <f>CtL!J18</f>
        <v>2.1784466588343063</v>
      </c>
      <c r="C11" s="176">
        <f>CtL!K18</f>
        <v>6.0794556599349601E-3</v>
      </c>
      <c r="D11" s="176">
        <f>CtL!L18</f>
        <v>3.915231739005199E-2</v>
      </c>
      <c r="E11" s="176">
        <f t="shared" si="0"/>
        <v>2.2236784318842933</v>
      </c>
      <c r="F11" s="176"/>
      <c r="G11" s="178">
        <f>CtL!P18</f>
        <v>203.2270124684689</v>
      </c>
    </row>
    <row r="12" spans="1:7">
      <c r="A12" s="32" t="s">
        <v>106</v>
      </c>
      <c r="B12" s="20">
        <f>'CtL(CCS)'!J27</f>
        <v>3.262994395020248</v>
      </c>
      <c r="C12" s="20">
        <f>'CtL(CCS)'!K27</f>
        <v>9.5835777275478633E-3</v>
      </c>
      <c r="D12" s="20">
        <f>'CtL(CCS)'!L27</f>
        <v>5.4209440823450784E-2</v>
      </c>
      <c r="E12" s="20">
        <f t="shared" si="0"/>
        <v>3.3267874135712465</v>
      </c>
      <c r="F12" s="20"/>
      <c r="G12" s="51">
        <f>'CtL(CCS)'!P27</f>
        <v>147.86915513347338</v>
      </c>
    </row>
    <row r="13" spans="1:7">
      <c r="A13" s="174" t="s">
        <v>128</v>
      </c>
      <c r="B13" s="176">
        <f>'CtL(CCS)'!J18</f>
        <v>2.5969033702392039</v>
      </c>
      <c r="C13" s="176">
        <f>'CtL(CCS)'!K18</f>
        <v>1.4642268891659782E-2</v>
      </c>
      <c r="D13" s="176">
        <f>'CtL(CCS)'!L18</f>
        <v>4.6353909545323348E-2</v>
      </c>
      <c r="E13" s="176">
        <f t="shared" si="0"/>
        <v>2.6578995486761872</v>
      </c>
      <c r="F13" s="176"/>
      <c r="G13" s="178">
        <f>'CtL(CCS)'!P28</f>
        <v>161.02116347110163</v>
      </c>
    </row>
    <row r="14" spans="1:7">
      <c r="A14" s="32"/>
      <c r="B14" s="20"/>
      <c r="C14" s="20"/>
      <c r="D14" s="20"/>
      <c r="E14" s="20"/>
      <c r="F14" s="20"/>
    </row>
    <row r="15" spans="1:7">
      <c r="A15" s="136" t="s">
        <v>304</v>
      </c>
      <c r="B15" s="20">
        <f>'LC factor'!B12</f>
        <v>2.4073229729246317</v>
      </c>
      <c r="C15" s="20">
        <f>'LC factor'!C12</f>
        <v>0.18717839215522458</v>
      </c>
      <c r="D15" s="20">
        <f>'LC factor'!D12</f>
        <v>6.8054364602401593E-2</v>
      </c>
      <c r="E15" s="20">
        <f>SUM(B15:D15)</f>
        <v>2.662555729682258</v>
      </c>
      <c r="F15" s="20"/>
      <c r="G15" s="51">
        <f>'LC factor'!O12</f>
        <v>237.06320573794014</v>
      </c>
    </row>
    <row r="16" spans="1:7">
      <c r="A16" s="136" t="s">
        <v>305</v>
      </c>
      <c r="B16" s="20">
        <f>GridE!N24</f>
        <v>3.0775125419466285</v>
      </c>
      <c r="C16" s="20">
        <f>GridE!O24</f>
        <v>7.511502981020682E-3</v>
      </c>
      <c r="D16" s="20">
        <f>GridE!P24</f>
        <v>4.166230410096651E-2</v>
      </c>
      <c r="E16" s="20">
        <f>SUM(B16:D16)</f>
        <v>3.1266863490286161</v>
      </c>
      <c r="F16" s="20"/>
      <c r="G16" s="20">
        <f>GridE!Q24</f>
        <v>286.14744343342312</v>
      </c>
    </row>
    <row r="17" spans="1:7">
      <c r="A17" s="136" t="s">
        <v>306</v>
      </c>
      <c r="B17" s="20">
        <f>GridE!N25</f>
        <v>2.0438072982299071</v>
      </c>
      <c r="C17" s="20">
        <f>GridE!O25</f>
        <v>5.2321193241463716E-3</v>
      </c>
      <c r="D17" s="20">
        <f>GridE!P25</f>
        <v>2.7933160883294117E-2</v>
      </c>
      <c r="E17" s="20">
        <f>SUM(B17:D17)</f>
        <v>2.0769725784373478</v>
      </c>
      <c r="F17" s="20"/>
      <c r="G17" s="20">
        <f>GridE!Q25</f>
        <v>191.55034513441328</v>
      </c>
    </row>
    <row r="18" spans="1:7">
      <c r="A18" s="136"/>
      <c r="B18" s="20"/>
      <c r="C18" s="20"/>
      <c r="D18" s="20"/>
      <c r="E18" s="20"/>
      <c r="F18" s="20"/>
      <c r="G18" s="20"/>
    </row>
    <row r="19" spans="1:7">
      <c r="A19" s="138" t="s">
        <v>324</v>
      </c>
      <c r="B19" s="20">
        <f>PV!U25</f>
        <v>0.17614814191695108</v>
      </c>
      <c r="C19" s="20">
        <f>PV!V25</f>
        <v>1.382089071127437E-3</v>
      </c>
      <c r="D19" s="20">
        <f>PV!W25</f>
        <v>2.3291593875500203E-2</v>
      </c>
      <c r="E19" s="20">
        <f>SUM(B19:D19)</f>
        <v>0.20082182486357872</v>
      </c>
      <c r="F19" s="20"/>
      <c r="G19" s="20">
        <f>PV!X25</f>
        <v>20.547014472913819</v>
      </c>
    </row>
    <row r="20" spans="1:7">
      <c r="A20" s="138" t="s">
        <v>325</v>
      </c>
      <c r="B20" s="20">
        <f>PV!U26</f>
        <v>0.27751534497256325</v>
      </c>
      <c r="C20" s="20">
        <f>PV!V26</f>
        <v>2.1774338416670536E-3</v>
      </c>
      <c r="D20" s="20">
        <f>PV!W26</f>
        <v>3.6695105829545271E-2</v>
      </c>
      <c r="E20" s="20">
        <f>SUM(B20:D20)</f>
        <v>0.3163878846437756</v>
      </c>
      <c r="F20" s="20"/>
      <c r="G20" s="20">
        <f>PV!X26</f>
        <v>32.371115287127559</v>
      </c>
    </row>
    <row r="21" spans="1:7">
      <c r="A21" s="138" t="s">
        <v>326</v>
      </c>
      <c r="B21" s="20">
        <f>PV!U27</f>
        <v>0.51250313381838575</v>
      </c>
      <c r="C21" s="20">
        <f>PV!V27</f>
        <v>4.0211890540571733E-3</v>
      </c>
      <c r="D21" s="20">
        <f>PV!W27</f>
        <v>6.7766907575141727E-2</v>
      </c>
      <c r="E21" s="20">
        <f>SUM(B21:D21)</f>
        <v>0.58429123044758458</v>
      </c>
      <c r="F21" s="20"/>
      <c r="G21" s="20">
        <f>PV!X27</f>
        <v>59.781552012878194</v>
      </c>
    </row>
    <row r="22" spans="1:7">
      <c r="A22" s="136"/>
      <c r="B22" s="20"/>
      <c r="C22" s="20"/>
      <c r="D22" s="20"/>
      <c r="E22" s="20"/>
      <c r="F22" s="20"/>
    </row>
    <row r="23" spans="1:7">
      <c r="A23" s="136" t="s">
        <v>302</v>
      </c>
      <c r="B23" s="20">
        <f>'CtE(CCS)'!G13</f>
        <v>3.1937846406119483</v>
      </c>
      <c r="C23" s="20">
        <f>'CtE(CCS)'!H13</f>
        <v>8.1243900391374402E-3</v>
      </c>
      <c r="D23" s="20">
        <f>'CtE(CCS)'!I13</f>
        <v>4.3916678192343073E-2</v>
      </c>
      <c r="E23" s="20">
        <f>SUM(B23:D23)</f>
        <v>3.2458257088434288</v>
      </c>
      <c r="F23" s="20"/>
      <c r="G23" s="51">
        <f>'CtE(CCS)'!M13</f>
        <v>294.32118455752214</v>
      </c>
    </row>
    <row r="24" spans="1:7">
      <c r="A24" s="136" t="s">
        <v>303</v>
      </c>
      <c r="B24" s="20">
        <f>'CtE(CCS)'!G32</f>
        <v>4.3697023713679073</v>
      </c>
      <c r="C24" s="20">
        <f>'CtE(CCS)'!H32</f>
        <v>1.2538981150309386E-2</v>
      </c>
      <c r="D24" s="20">
        <f>'CtE(CCS)'!I32</f>
        <v>6.0361094057349254E-2</v>
      </c>
      <c r="E24" s="20">
        <f>'CtE(CCS)'!J18</f>
        <v>62.122629534845444</v>
      </c>
      <c r="F24" s="20"/>
      <c r="G24" s="51">
        <f>'CtE(CCS)'!M32</f>
        <v>102.89448636282678</v>
      </c>
    </row>
    <row r="25" spans="1:7">
      <c r="A25" s="136"/>
      <c r="B25" s="20"/>
      <c r="C25" s="20"/>
      <c r="D25" s="20"/>
      <c r="E25" s="20"/>
      <c r="F25" s="20"/>
    </row>
    <row r="26" spans="1:7">
      <c r="A26" s="138" t="s">
        <v>300</v>
      </c>
      <c r="B26" s="20">
        <f>'CtE(CCS)'!G14</f>
        <v>2.5284128404844592</v>
      </c>
      <c r="C26" s="20">
        <f>'CtE(CCS)'!H14</f>
        <v>6.4318087809838069E-3</v>
      </c>
      <c r="D26" s="20">
        <f>'CtE(CCS)'!I14</f>
        <v>3.476737023560493E-2</v>
      </c>
      <c r="E26" s="20">
        <f>SUM(B26:D26)</f>
        <v>2.5696120195010477</v>
      </c>
      <c r="F26" s="20"/>
      <c r="G26" s="51">
        <f>'CtE(CCS)'!M14</f>
        <v>233.00427110803838</v>
      </c>
    </row>
    <row r="27" spans="1:7">
      <c r="A27" s="138" t="s">
        <v>301</v>
      </c>
      <c r="B27" s="20">
        <f>'CtE(CCS)'!G33</f>
        <v>3.2255463186977589</v>
      </c>
      <c r="C27" s="20">
        <f>'CtE(CCS)'!H33</f>
        <v>9.2557938853258699E-3</v>
      </c>
      <c r="D27" s="20">
        <f>'CtE(CCS)'!I33</f>
        <v>4.4556239345954179E-2</v>
      </c>
      <c r="E27" s="20">
        <f>SUM(B27:D27)</f>
        <v>3.279358351929039</v>
      </c>
      <c r="F27" s="20"/>
      <c r="G27" s="51">
        <f>'CtE(CCS)'!M33</f>
        <v>75.952754557518361</v>
      </c>
    </row>
    <row r="28" spans="1:7">
      <c r="A28" s="32" t="s">
        <v>107</v>
      </c>
      <c r="B28" s="20">
        <f>'CtE(CCS)'!G15</f>
        <v>2.8538521169824591</v>
      </c>
      <c r="C28" s="20">
        <f>'CtE(CCS)'!H15</f>
        <v>7.2596653567540007E-3</v>
      </c>
      <c r="D28" s="20">
        <f>'CtE(CCS)'!I15</f>
        <v>3.92423782857323E-2</v>
      </c>
      <c r="E28" s="20">
        <f>SUM(B28:D28)</f>
        <v>2.9003541606249454</v>
      </c>
      <c r="F28" s="20"/>
      <c r="G28" s="51">
        <f>'CtE(CCS)'!M15</f>
        <v>262.99491986451858</v>
      </c>
    </row>
    <row r="29" spans="1:7">
      <c r="A29" s="32" t="s">
        <v>111</v>
      </c>
      <c r="B29" s="20">
        <f>'CtE(CCS)'!G34</f>
        <v>3.5297202596381525</v>
      </c>
      <c r="C29" s="20">
        <f>'CtE(CCS)'!H34</f>
        <v>1.0077743889975115E-2</v>
      </c>
      <c r="D29" s="20">
        <f>'CtE(CCS)'!I34</f>
        <v>4.8748137428073608E-2</v>
      </c>
      <c r="E29" s="20">
        <f>SUM(B29:D29)</f>
        <v>3.5885461409562014</v>
      </c>
      <c r="F29" s="20"/>
      <c r="G29" s="51">
        <f>'CtE(CCS)'!M34</f>
        <v>93.83350727337006</v>
      </c>
    </row>
    <row r="30" spans="1:7">
      <c r="A30" s="32"/>
      <c r="B30" s="20"/>
      <c r="C30" s="20"/>
      <c r="D30" s="20"/>
      <c r="E30" s="20"/>
      <c r="F30" s="20"/>
    </row>
    <row r="31" spans="1:7">
      <c r="A31" s="32" t="s">
        <v>105</v>
      </c>
      <c r="B31" s="20">
        <f>'SNG(CCS)'!G13</f>
        <v>2.1113621639476858</v>
      </c>
      <c r="C31" s="20">
        <f>'SNG(CCS)'!H13</f>
        <v>5.3709099591954731E-3</v>
      </c>
      <c r="D31" s="20">
        <f>'SNG(CCS)'!I13</f>
        <v>2.9032644068265397E-2</v>
      </c>
      <c r="E31" s="20">
        <f>SUM(B31:D31)</f>
        <v>2.1457657179751468</v>
      </c>
      <c r="F31" s="20"/>
      <c r="G31" s="51">
        <f>'SNG(CCS)'!M13</f>
        <v>194.57123226816839</v>
      </c>
    </row>
    <row r="32" spans="1:7">
      <c r="A32" s="174" t="s">
        <v>130</v>
      </c>
      <c r="B32" s="176">
        <f>'SNG(CCS)'!G14</f>
        <v>2.1113621639476858</v>
      </c>
      <c r="C32" s="176">
        <f>'SNG(CCS)'!H14</f>
        <v>5.3709099591954731E-3</v>
      </c>
      <c r="D32" s="176">
        <f>'SNG(CCS)'!I14</f>
        <v>2.9032644068265397E-2</v>
      </c>
      <c r="E32" s="176">
        <f>SUM(B32:D32)</f>
        <v>2.1457657179751468</v>
      </c>
      <c r="F32" s="176"/>
      <c r="G32" s="178">
        <f>'SNG(CCS)'!M14</f>
        <v>194.57123226816839</v>
      </c>
    </row>
    <row r="33" spans="1:11">
      <c r="A33" s="32" t="s">
        <v>112</v>
      </c>
      <c r="B33" s="20">
        <f>'SNG(CCS)'!G30</f>
        <v>2.116003544093993</v>
      </c>
      <c r="C33" s="20">
        <f>'SNG(CCS)'!H30</f>
        <v>5.7317946775893146E-3</v>
      </c>
      <c r="D33" s="20">
        <f>'SNG(CCS)'!I30</f>
        <v>2.9163854620521037E-2</v>
      </c>
      <c r="E33" s="20">
        <f>SUM(B33:D33)</f>
        <v>2.1508991933921036</v>
      </c>
      <c r="F33" s="20"/>
      <c r="G33" s="51">
        <f>'SNG(CCS)'!M30</f>
        <v>123.64441791053027</v>
      </c>
    </row>
    <row r="34" spans="1:11">
      <c r="A34" s="174" t="s">
        <v>131</v>
      </c>
      <c r="B34" s="176">
        <f>'SNG(CCS)'!G22</f>
        <v>2.1113621639476858</v>
      </c>
      <c r="C34" s="176">
        <f>'SNG(CCS)'!H22</f>
        <v>5.3709099591954731E-3</v>
      </c>
      <c r="D34" s="176">
        <f>'SNG(CCS)'!I22</f>
        <v>2.9032644068265397E-2</v>
      </c>
      <c r="E34" s="176">
        <f>SUM(B34:D34)</f>
        <v>2.1457657179751468</v>
      </c>
      <c r="F34" s="175"/>
      <c r="G34" s="178">
        <f>'SNG(CCS)'!M22</f>
        <v>123.00648457569719</v>
      </c>
    </row>
    <row r="39" spans="1:11" ht="14.25" thickBot="1"/>
    <row r="40" spans="1:11">
      <c r="A40" s="146" t="s">
        <v>352</v>
      </c>
      <c r="B40" s="202" t="s">
        <v>354</v>
      </c>
      <c r="C40" s="203" t="s">
        <v>355</v>
      </c>
      <c r="K40" t="s">
        <v>180</v>
      </c>
    </row>
    <row r="41" spans="1:11">
      <c r="A41" s="147" t="s">
        <v>353</v>
      </c>
      <c r="B41" s="64">
        <f>'CtL(CCS)'!Q30</f>
        <v>3.2942588995956493E-3</v>
      </c>
      <c r="C41" s="65">
        <f>'CtL(CCS)'!P30</f>
        <v>6.5988861006953019E-3</v>
      </c>
    </row>
    <row r="42" spans="1:11">
      <c r="A42" s="39" t="str">
        <f>A24</f>
        <v>SC+CCS</v>
      </c>
      <c r="B42" s="64">
        <f>'CtE(CCS)'!N36</f>
        <v>0</v>
      </c>
      <c r="C42" s="65">
        <f>'CtE(CCS)'!M36</f>
        <v>0</v>
      </c>
    </row>
    <row r="43" spans="1:11">
      <c r="A43" s="39" t="str">
        <f>A27</f>
        <v>USC+CCS</v>
      </c>
      <c r="B43" s="64">
        <f>'CtE(CCS)'!N37</f>
        <v>0</v>
      </c>
      <c r="C43" s="65">
        <f>'CtE(CCS)'!M37</f>
        <v>0</v>
      </c>
    </row>
    <row r="44" spans="1:11">
      <c r="A44" s="39" t="str">
        <f>A29</f>
        <v>IGCC+CCS</v>
      </c>
      <c r="B44" s="64">
        <f>'CtE(CCS)'!N38</f>
        <v>0</v>
      </c>
      <c r="C44" s="65">
        <f>'CtE(CCS)'!M38</f>
        <v>0</v>
      </c>
    </row>
    <row r="45" spans="1:11" ht="14.25" thickBot="1">
      <c r="A45" s="41" t="str">
        <f>A33</f>
        <v>SNG+CCS</v>
      </c>
      <c r="B45" s="68">
        <f>'SNG(CCS)'!N33</f>
        <v>2.3866648110368654E-3</v>
      </c>
      <c r="C45" s="69">
        <f>'SNG(CCS)'!M33</f>
        <v>3.6655867081766993E-3</v>
      </c>
    </row>
  </sheetData>
  <phoneticPr fontId="2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75"/>
  <sheetViews>
    <sheetView tabSelected="1" topLeftCell="A41" workbookViewId="0">
      <selection activeCell="A89" sqref="A89"/>
    </sheetView>
  </sheetViews>
  <sheetFormatPr defaultRowHeight="13.5"/>
  <cols>
    <col min="1" max="1" width="21.5" customWidth="1"/>
    <col min="2" max="2" width="16.375" customWidth="1"/>
    <col min="3" max="3" width="19.5" customWidth="1"/>
    <col min="4" max="4" width="17.5" style="713" customWidth="1"/>
    <col min="5" max="5" width="11.625" style="713" bestFit="1" customWidth="1"/>
    <col min="6" max="6" width="8.875" customWidth="1"/>
    <col min="7" max="7" width="11.625" bestFit="1" customWidth="1"/>
    <col min="8" max="8" width="10.5" bestFit="1" customWidth="1"/>
    <col min="9" max="10" width="12.75" bestFit="1" customWidth="1"/>
    <col min="11" max="11" width="18.375" bestFit="1" customWidth="1"/>
  </cols>
  <sheetData>
    <row r="1" spans="1:11" ht="81">
      <c r="A1" s="623"/>
      <c r="B1" s="673" t="s">
        <v>950</v>
      </c>
      <c r="C1" s="623" t="s">
        <v>822</v>
      </c>
      <c r="D1" s="710" t="s">
        <v>821</v>
      </c>
      <c r="E1" s="710" t="s">
        <v>820</v>
      </c>
      <c r="F1" s="622" t="s">
        <v>819</v>
      </c>
      <c r="G1" s="622" t="s">
        <v>818</v>
      </c>
      <c r="H1" s="535" t="s">
        <v>1074</v>
      </c>
    </row>
    <row r="2" spans="1:11" ht="40.5">
      <c r="A2" s="623"/>
      <c r="B2" s="673" t="s">
        <v>951</v>
      </c>
      <c r="C2" s="673" t="s">
        <v>952</v>
      </c>
      <c r="D2" s="710"/>
      <c r="E2" s="710"/>
      <c r="F2" s="674" t="s">
        <v>953</v>
      </c>
      <c r="G2" s="715" t="s">
        <v>1072</v>
      </c>
      <c r="H2" s="535" t="s">
        <v>1073</v>
      </c>
    </row>
    <row r="3" spans="1:11">
      <c r="A3" s="672" t="s">
        <v>931</v>
      </c>
      <c r="B3" s="615">
        <v>1</v>
      </c>
      <c r="C3" s="614">
        <f>1/B3</f>
        <v>1</v>
      </c>
      <c r="D3" s="711">
        <v>42.2</v>
      </c>
      <c r="E3" s="712">
        <v>0.74</v>
      </c>
      <c r="F3" s="612">
        <f>E3*G3</f>
        <v>5.92</v>
      </c>
      <c r="G3" s="620">
        <f>'Key Input'!E23</f>
        <v>8</v>
      </c>
      <c r="H3" s="466">
        <f>F3*'vehicle summary'!D3/100</f>
        <v>2.49824</v>
      </c>
      <c r="I3">
        <f>E3*D3</f>
        <v>31.228000000000002</v>
      </c>
    </row>
    <row r="4" spans="1:11">
      <c r="A4" s="672" t="s">
        <v>943</v>
      </c>
      <c r="B4" s="615">
        <v>1.1000000000000001</v>
      </c>
      <c r="C4" s="619">
        <f>'Key Input'!E24</f>
        <v>0.91</v>
      </c>
      <c r="D4" s="711">
        <v>42.7</v>
      </c>
      <c r="E4" s="712">
        <v>0.84</v>
      </c>
      <c r="F4" s="612">
        <f>F3*D3/D4*C4</f>
        <v>5.3241180327868856</v>
      </c>
      <c r="G4" s="612">
        <f>F4/E4</f>
        <v>6.3382357533177212</v>
      </c>
      <c r="H4" s="466">
        <f>H3*C4</f>
        <v>2.2733984</v>
      </c>
    </row>
    <row r="5" spans="1:11">
      <c r="A5" s="672" t="s">
        <v>932</v>
      </c>
      <c r="B5" s="615">
        <f>1/C5</f>
        <v>0.95238095238095233</v>
      </c>
      <c r="C5" s="614">
        <f>'Key Input'!E26</f>
        <v>1.05</v>
      </c>
      <c r="D5" s="711">
        <v>43</v>
      </c>
      <c r="E5" s="712"/>
      <c r="F5" s="612">
        <f>F3*D3/D5*C5</f>
        <v>6.1003534883720931</v>
      </c>
      <c r="G5" s="612"/>
      <c r="H5" s="466">
        <f>H3*C5</f>
        <v>2.6231520000000002</v>
      </c>
      <c r="J5">
        <f>2.4*8</f>
        <v>19.2</v>
      </c>
    </row>
    <row r="6" spans="1:11">
      <c r="A6" s="672" t="s">
        <v>933</v>
      </c>
      <c r="B6" s="615">
        <f>1/C6</f>
        <v>0.99689490940099423</v>
      </c>
      <c r="C6" s="614">
        <f>'Key Input'!K25/100</f>
        <v>1.0031147622178866</v>
      </c>
      <c r="D6" s="711">
        <v>43</v>
      </c>
      <c r="E6" s="712"/>
      <c r="F6" s="612">
        <f>F3*D3/D6*C6</f>
        <v>5.8279567989842169</v>
      </c>
      <c r="G6" s="612"/>
      <c r="H6" s="466">
        <f>H3*C6</f>
        <v>2.506021423563213</v>
      </c>
    </row>
    <row r="7" spans="1:11">
      <c r="A7" s="672" t="s">
        <v>937</v>
      </c>
      <c r="B7" s="615">
        <f>1/C7</f>
        <v>1</v>
      </c>
      <c r="C7" s="614">
        <f>'Key Input'!E28/100</f>
        <v>1</v>
      </c>
      <c r="D7" s="711">
        <v>27</v>
      </c>
      <c r="E7" s="712">
        <v>0.79</v>
      </c>
      <c r="F7" s="612">
        <f>F3*D3/D7*C7</f>
        <v>9.2527407407407409</v>
      </c>
      <c r="G7" s="612">
        <f>F7/E7</f>
        <v>11.712330051570557</v>
      </c>
      <c r="H7" s="466">
        <f>H3*C7</f>
        <v>2.49824</v>
      </c>
    </row>
    <row r="8" spans="1:11">
      <c r="A8" s="672" t="s">
        <v>945</v>
      </c>
      <c r="B8" s="615">
        <f>1/C8</f>
        <v>1.0989010989010988</v>
      </c>
      <c r="C8" s="614">
        <f>C4*'Key Input'!E29/100</f>
        <v>0.91</v>
      </c>
      <c r="D8" s="711">
        <f>D4</f>
        <v>42.7</v>
      </c>
      <c r="E8" s="712">
        <f>E4</f>
        <v>0.84</v>
      </c>
      <c r="F8" s="612">
        <f>F3*D3/D8*C8</f>
        <v>5.3241180327868856</v>
      </c>
      <c r="G8" s="612">
        <f>F8/E8</f>
        <v>6.3382357533177212</v>
      </c>
      <c r="H8" s="466">
        <f>H3*C8</f>
        <v>2.2733984</v>
      </c>
      <c r="J8" t="s">
        <v>1107</v>
      </c>
      <c r="K8">
        <v>16</v>
      </c>
    </row>
    <row r="9" spans="1:11">
      <c r="A9" s="672" t="s">
        <v>947</v>
      </c>
      <c r="B9" s="615">
        <f>'Key Input'!E27</f>
        <v>2.9</v>
      </c>
      <c r="C9" s="614">
        <f>1/B9</f>
        <v>0.34482758620689657</v>
      </c>
      <c r="D9" s="711"/>
      <c r="E9" s="711"/>
      <c r="F9" s="612"/>
      <c r="G9" s="612">
        <f>F3*D3*C9/3.6</f>
        <v>23.929501915708816</v>
      </c>
      <c r="H9" s="466">
        <f>H3*C9</f>
        <v>0.86146206896551736</v>
      </c>
      <c r="J9" t="s">
        <v>1108</v>
      </c>
      <c r="K9" t="s">
        <v>1109</v>
      </c>
    </row>
    <row r="10" spans="1:11">
      <c r="D10"/>
      <c r="E10"/>
    </row>
    <row r="11" spans="1:11">
      <c r="D11"/>
      <c r="E11"/>
    </row>
    <row r="12" spans="1:11" ht="14.25" thickBot="1">
      <c r="A12" s="535" t="s">
        <v>1110</v>
      </c>
      <c r="D12"/>
      <c r="E12" t="s">
        <v>1112</v>
      </c>
      <c r="F12" t="s">
        <v>1113</v>
      </c>
      <c r="G12" t="s">
        <v>1114</v>
      </c>
      <c r="H12" t="s">
        <v>1115</v>
      </c>
      <c r="I12" t="s">
        <v>1116</v>
      </c>
      <c r="J12" t="s">
        <v>1117</v>
      </c>
    </row>
    <row r="13" spans="1:11">
      <c r="B13" s="36"/>
      <c r="C13" s="37"/>
      <c r="D13" s="37"/>
      <c r="E13" s="37" t="str">
        <f>'fuel summary'!E102</f>
        <v>原油开采处理</v>
      </c>
      <c r="F13" s="37" t="str">
        <f>'fuel summary'!F102</f>
        <v>原油运输</v>
      </c>
      <c r="G13" s="37" t="str">
        <f>'fuel summary'!G102</f>
        <v>汽油炼制</v>
      </c>
      <c r="H13" s="37" t="str">
        <f>'fuel summary'!H102</f>
        <v>汽油输配</v>
      </c>
      <c r="I13" s="37" t="str">
        <f>'fuel summary'!I102</f>
        <v>汽油使用</v>
      </c>
      <c r="J13" s="38" t="str">
        <f>'fuel summary'!J102</f>
        <v>合计</v>
      </c>
    </row>
    <row r="14" spans="1:11">
      <c r="B14" s="39" t="str">
        <f>'fuel summary'!B103</f>
        <v>LCA-Coal</v>
      </c>
      <c r="C14" s="529" t="s">
        <v>679</v>
      </c>
      <c r="D14" s="538" t="s">
        <v>1075</v>
      </c>
      <c r="E14" s="417">
        <f>'fuel summary'!E103*'vehicle summary'!$H$3</f>
        <v>9.2380963244899639E-2</v>
      </c>
      <c r="F14" s="417">
        <f>'fuel summary'!F103*'vehicle summary'!$H$3</f>
        <v>1.9236056985489688E-2</v>
      </c>
      <c r="G14" s="417">
        <f>'fuel summary'!G103*'vehicle summary'!$H$3</f>
        <v>7.1600880942388367E-2</v>
      </c>
      <c r="H14" s="417">
        <f>'fuel summary'!H103*'vehicle summary'!$H$3</f>
        <v>5.8315294436299125E-3</v>
      </c>
      <c r="I14" s="417">
        <f>'fuel summary'!I103*'vehicle summary'!$H$3</f>
        <v>0</v>
      </c>
      <c r="J14" s="410">
        <f>'fuel summary'!J103*'vehicle summary'!$H$3</f>
        <v>0.18904943061640761</v>
      </c>
    </row>
    <row r="15" spans="1:11">
      <c r="B15" s="39" t="str">
        <f>'fuel summary'!B104</f>
        <v>LCA-NG</v>
      </c>
      <c r="C15" s="529" t="s">
        <v>680</v>
      </c>
      <c r="D15" s="538" t="s">
        <v>1076</v>
      </c>
      <c r="E15" s="417">
        <f>'fuel summary'!E104*'vehicle summary'!$H$3</f>
        <v>0.1100258444960341</v>
      </c>
      <c r="F15" s="417">
        <f>'fuel summary'!F104*'vehicle summary'!$H$3</f>
        <v>2.3977433060817718E-3</v>
      </c>
      <c r="G15" s="417">
        <f>'fuel summary'!G104*'vehicle summary'!$H$3</f>
        <v>2.1664270974511669E-2</v>
      </c>
      <c r="H15" s="417">
        <f>'fuel summary'!H104*'vehicle summary'!$H$3</f>
        <v>1.3889452196271129E-3</v>
      </c>
      <c r="I15" s="417">
        <f>'fuel summary'!I104*'vehicle summary'!$H$3</f>
        <v>0</v>
      </c>
      <c r="J15" s="410">
        <f>'fuel summary'!J104*'vehicle summary'!$H$3</f>
        <v>0.13547680399625464</v>
      </c>
    </row>
    <row r="16" spans="1:11">
      <c r="B16" s="39" t="str">
        <f>'fuel summary'!B105</f>
        <v>LCA-Oil</v>
      </c>
      <c r="C16" s="529" t="s">
        <v>681</v>
      </c>
      <c r="D16" s="538" t="s">
        <v>1076</v>
      </c>
      <c r="E16" s="417">
        <f>'fuel summary'!E105*'vehicle summary'!$H$3</f>
        <v>9.9005536181275444E-2</v>
      </c>
      <c r="F16" s="417">
        <f>'fuel summary'!F105*'vehicle summary'!$H$3</f>
        <v>2.5209555995758387E-2</v>
      </c>
      <c r="G16" s="417">
        <f>'fuel summary'!G105*'vehicle summary'!$H$3</f>
        <v>0.23296636673241522</v>
      </c>
      <c r="H16" s="417">
        <f>'fuel summary'!H105*'vehicle summary'!$H$3</f>
        <v>2.5504787377490973E-2</v>
      </c>
      <c r="I16" s="417">
        <f>'fuel summary'!I105*'vehicle summary'!$H$3</f>
        <v>2.49824</v>
      </c>
      <c r="J16" s="410">
        <f>'fuel summary'!J105*'vehicle summary'!$H$3</f>
        <v>2.8809262462869398</v>
      </c>
    </row>
    <row r="17" spans="1:10">
      <c r="B17" s="39" t="str">
        <f>'fuel summary'!B106</f>
        <v>LCA-PE</v>
      </c>
      <c r="C17" s="529" t="s">
        <v>682</v>
      </c>
      <c r="D17" s="538" t="s">
        <v>1076</v>
      </c>
      <c r="E17" s="417">
        <f>'fuel summary'!E106*'vehicle summary'!$H$3</f>
        <v>0.30141234392220922</v>
      </c>
      <c r="F17" s="417">
        <f>'fuel summary'!F106*'vehicle summary'!$H$3</f>
        <v>4.6843356287329843E-2</v>
      </c>
      <c r="G17" s="417">
        <f>'fuel summary'!G106*'vehicle summary'!$H$3</f>
        <v>0.32623151864931527</v>
      </c>
      <c r="H17" s="417">
        <f>'fuel summary'!H106*'vehicle summary'!$H$3</f>
        <v>3.2725262040748E-2</v>
      </c>
      <c r="I17" s="417">
        <f>'fuel summary'!I106*'vehicle summary'!$H$3</f>
        <v>2.49824</v>
      </c>
      <c r="J17" s="410">
        <f>'fuel summary'!J106*'vehicle summary'!$H$3</f>
        <v>3.2054524808996021</v>
      </c>
    </row>
    <row r="18" spans="1:10">
      <c r="B18" s="39"/>
      <c r="C18" s="483"/>
      <c r="D18" s="35"/>
      <c r="E18" s="417"/>
      <c r="F18" s="417"/>
      <c r="G18" s="417"/>
      <c r="H18" s="417"/>
      <c r="I18" s="417"/>
      <c r="J18" s="410"/>
    </row>
    <row r="19" spans="1:10">
      <c r="B19" s="39" t="str">
        <f>'fuel summary'!B108</f>
        <v>LCA-CO2</v>
      </c>
      <c r="C19" s="529" t="s">
        <v>683</v>
      </c>
      <c r="D19" s="538" t="s">
        <v>1077</v>
      </c>
      <c r="E19" s="380">
        <f>'fuel summary'!E108*'vehicle summary'!$H$3</f>
        <v>19.342212400089007</v>
      </c>
      <c r="F19" s="380">
        <f>'fuel summary'!F108*'vehicle summary'!$H$3</f>
        <v>3.5691503477530198</v>
      </c>
      <c r="G19" s="380">
        <f>'fuel summary'!G108*'vehicle summary'!$H$3</f>
        <v>23.832783017260578</v>
      </c>
      <c r="H19" s="380">
        <f>'fuel summary'!H108*'vehicle summary'!$H$3</f>
        <v>2.4622108001532603</v>
      </c>
      <c r="I19" s="380">
        <f>'fuel summary'!I108*'vehicle summary'!$H$3</f>
        <v>169.66547136</v>
      </c>
      <c r="J19" s="383">
        <f>'fuel summary'!J108*'vehicle summary'!$H$3</f>
        <v>218.87182792525587</v>
      </c>
    </row>
    <row r="20" spans="1:10">
      <c r="B20" s="39" t="str">
        <f>'fuel summary'!B109</f>
        <v>LCA-CH4</v>
      </c>
      <c r="C20" s="529" t="s">
        <v>684</v>
      </c>
      <c r="D20" s="538" t="s">
        <v>1078</v>
      </c>
      <c r="E20" s="380">
        <f>'fuel summary'!E109*'vehicle summary'!$H$3</f>
        <v>7.0235995524307093E-2</v>
      </c>
      <c r="F20" s="380">
        <f>'fuel summary'!F109*'vehicle summary'!$H$3</f>
        <v>8.2046998344535681E-3</v>
      </c>
      <c r="G20" s="380">
        <f>'fuel summary'!G109*'vehicle summary'!$H$3</f>
        <v>3.340811881116669E-2</v>
      </c>
      <c r="H20" s="380">
        <f>'fuel summary'!H109*'vehicle summary'!$H$3</f>
        <v>2.7742279265741076E-3</v>
      </c>
      <c r="I20" s="380">
        <f>'fuel summary'!I109*'vehicle summary'!$H$3</f>
        <v>0.19985920000000001</v>
      </c>
      <c r="J20" s="383">
        <f>'fuel summary'!J109*'vehicle summary'!$H$3</f>
        <v>0.31448224209650144</v>
      </c>
    </row>
    <row r="21" spans="1:10">
      <c r="B21" s="39" t="str">
        <f>'fuel summary'!B110</f>
        <v>LCA-N2O</v>
      </c>
      <c r="C21" s="529" t="s">
        <v>685</v>
      </c>
      <c r="D21" s="538" t="s">
        <v>1079</v>
      </c>
      <c r="E21" s="380">
        <f>'fuel summary'!E110*'vehicle summary'!$H$3</f>
        <v>7.8200033677164218E-4</v>
      </c>
      <c r="F21" s="380">
        <f>'fuel summary'!F110*'vehicle summary'!$H$3</f>
        <v>5.7668929290164809E-5</v>
      </c>
      <c r="G21" s="380">
        <f>'fuel summary'!G110*'vehicle summary'!$H$3</f>
        <v>1.8533865439745228E-4</v>
      </c>
      <c r="H21" s="380">
        <f>'fuel summary'!H110*'vehicle summary'!$H$3</f>
        <v>1.5210093891768268E-4</v>
      </c>
      <c r="I21" s="380">
        <f>'fuel summary'!I110*'vehicle summary'!$H$3</f>
        <v>4.9964800000000002E-3</v>
      </c>
      <c r="J21" s="383">
        <f>'fuel summary'!J110*'vehicle summary'!$H$3</f>
        <v>6.1735888593769418E-3</v>
      </c>
    </row>
    <row r="22" spans="1:10" ht="14.25" thickBot="1">
      <c r="B22" s="41" t="str">
        <f>'fuel summary'!B111</f>
        <v>LCA-GHG</v>
      </c>
      <c r="C22" s="376" t="s">
        <v>686</v>
      </c>
      <c r="D22" s="705" t="s">
        <v>1077</v>
      </c>
      <c r="E22" s="716">
        <f>'fuel summary'!E111*'vehicle summary'!$H$3</f>
        <v>21.098345324297039</v>
      </c>
      <c r="F22" s="716">
        <f>'fuel summary'!F111*'vehicle summary'!$H$3</f>
        <v>3.7742850289552874</v>
      </c>
      <c r="G22" s="716">
        <f>'fuel summary'!G111*'vehicle summary'!$H$3</f>
        <v>24.668041218458757</v>
      </c>
      <c r="H22" s="716">
        <f>'fuel summary'!H111*'vehicle summary'!$H$3</f>
        <v>2.5316118243974102</v>
      </c>
      <c r="I22" s="716">
        <f>'fuel summary'!I111*'vehicle summary'!$H$3</f>
        <v>174.66344031104001</v>
      </c>
      <c r="J22" s="717">
        <f>'fuel summary'!J111*'vehicle summary'!$H$3</f>
        <v>226.73572370714848</v>
      </c>
    </row>
    <row r="23" spans="1:10" ht="14.25" thickBot="1">
      <c r="D23"/>
      <c r="E23"/>
    </row>
    <row r="24" spans="1:10">
      <c r="A24" s="535" t="s">
        <v>1111</v>
      </c>
      <c r="B24" s="36"/>
      <c r="C24" s="37"/>
      <c r="D24" s="37"/>
      <c r="E24" s="37" t="str">
        <f>'fuel summary'!E89</f>
        <v>原油开采处理</v>
      </c>
      <c r="F24" s="37" t="str">
        <f>'fuel summary'!F89</f>
        <v>原油运输</v>
      </c>
      <c r="G24" s="37" t="str">
        <f>'fuel summary'!G89</f>
        <v>柴油炼制</v>
      </c>
      <c r="H24" s="37" t="str">
        <f>'fuel summary'!H89</f>
        <v>柴油输配</v>
      </c>
      <c r="I24" s="37" t="str">
        <f>'fuel summary'!I89</f>
        <v>柴油使用</v>
      </c>
      <c r="J24" s="38" t="str">
        <f>'fuel summary'!J89</f>
        <v>合计</v>
      </c>
    </row>
    <row r="25" spans="1:10">
      <c r="B25" s="39" t="str">
        <f t="shared" ref="B25:D33" si="0">B14</f>
        <v>LCA-Coal</v>
      </c>
      <c r="C25" s="35" t="str">
        <f t="shared" si="0"/>
        <v>煤炭</v>
      </c>
      <c r="D25" s="35" t="str">
        <f t="shared" si="0"/>
        <v>MJ/km</v>
      </c>
      <c r="E25" s="417">
        <f>'fuel summary'!E90*'vehicle summary'!$H$4</f>
        <v>8.3504357646150579E-2</v>
      </c>
      <c r="F25" s="417">
        <f>'fuel summary'!F90*'vehicle summary'!$H$4</f>
        <v>1.7387722814275242E-2</v>
      </c>
      <c r="G25" s="417">
        <f>'fuel summary'!G90*'vehicle summary'!$H$4</f>
        <v>6.8640121206570898E-2</v>
      </c>
      <c r="H25" s="417">
        <f>'fuel summary'!H90*'vehicle summary'!$H$4</f>
        <v>6.3590528712731808E-3</v>
      </c>
      <c r="I25" s="417">
        <f>'fuel summary'!I90*'vehicle summary'!$H$4</f>
        <v>0</v>
      </c>
      <c r="J25" s="410">
        <f>'fuel summary'!J90*'vehicle summary'!$H$4</f>
        <v>0.1758912545382699</v>
      </c>
    </row>
    <row r="26" spans="1:10">
      <c r="B26" s="39" t="str">
        <f t="shared" si="0"/>
        <v>LCA-NG</v>
      </c>
      <c r="C26" s="35" t="str">
        <f t="shared" si="0"/>
        <v>天然气</v>
      </c>
      <c r="D26" s="35" t="str">
        <f t="shared" si="0"/>
        <v>MJ/km</v>
      </c>
      <c r="E26" s="417">
        <f>'fuel summary'!E91*'vehicle summary'!$H$4</f>
        <v>9.9453795959676045E-2</v>
      </c>
      <c r="F26" s="417">
        <f>'fuel summary'!F91*'vehicle summary'!$H$4</f>
        <v>2.1673514492800013E-3</v>
      </c>
      <c r="G26" s="417">
        <f>'fuel summary'!G91*'vehicle summary'!$H$4</f>
        <v>2.0768434214363647E-2</v>
      </c>
      <c r="H26" s="417">
        <f>'fuel summary'!H91*'vehicle summary'!$H$4</f>
        <v>1.2390265731063396E-3</v>
      </c>
      <c r="I26" s="417">
        <f>'fuel summary'!I91*'vehicle summary'!$H$4</f>
        <v>0</v>
      </c>
      <c r="J26" s="410">
        <f>'fuel summary'!J91*'vehicle summary'!$H$4</f>
        <v>0.12362860819642604</v>
      </c>
    </row>
    <row r="27" spans="1:10">
      <c r="B27" s="39" t="str">
        <f t="shared" si="0"/>
        <v>LCA-Oil</v>
      </c>
      <c r="C27" s="35" t="str">
        <f t="shared" si="0"/>
        <v>石油</v>
      </c>
      <c r="D27" s="35" t="str">
        <f t="shared" si="0"/>
        <v>MJ/km</v>
      </c>
      <c r="E27" s="417">
        <f>'fuel summary'!E92*'vehicle summary'!$H$4</f>
        <v>8.9492395530813715E-2</v>
      </c>
      <c r="F27" s="417">
        <f>'fuel summary'!F92*'vehicle summary'!$H$4</f>
        <v>2.2787246484861599E-2</v>
      </c>
      <c r="G27" s="417">
        <f>'fuel summary'!G92*'vehicle summary'!$H$4</f>
        <v>0.22333300148128071</v>
      </c>
      <c r="H27" s="417">
        <f>'fuel summary'!H92*'vehicle summary'!$H$4</f>
        <v>2.0311506682987715E-2</v>
      </c>
      <c r="I27" s="417">
        <f>'fuel summary'!I92*'vehicle summary'!$H$4</f>
        <v>2.2733984</v>
      </c>
      <c r="J27" s="410">
        <f>'fuel summary'!J92*'vehicle summary'!$H$4</f>
        <v>2.629322550179944</v>
      </c>
    </row>
    <row r="28" spans="1:10">
      <c r="B28" s="39" t="str">
        <f t="shared" si="0"/>
        <v>LCA-PE</v>
      </c>
      <c r="C28" s="35" t="str">
        <f t="shared" si="0"/>
        <v>一次能源总计</v>
      </c>
      <c r="D28" s="35" t="str">
        <f t="shared" si="0"/>
        <v>MJ/km</v>
      </c>
      <c r="E28" s="417">
        <f>'fuel summary'!E93*'vehicle summary'!$H$4</f>
        <v>0.27245054913664035</v>
      </c>
      <c r="F28" s="417">
        <f>'fuel summary'!F93*'vehicle summary'!$H$4</f>
        <v>4.2342320748416845E-2</v>
      </c>
      <c r="G28" s="417">
        <f>'fuel summary'!G93*'vehicle summary'!$H$4</f>
        <v>0.31274155690221528</v>
      </c>
      <c r="H28" s="417">
        <f>'fuel summary'!H93*'vehicle summary'!$H$4</f>
        <v>2.7909586127367235E-2</v>
      </c>
      <c r="I28" s="417">
        <f>'fuel summary'!I93*'vehicle summary'!$H$4</f>
        <v>2.2733984</v>
      </c>
      <c r="J28" s="410">
        <f>'fuel summary'!J93*'vehicle summary'!$H$4</f>
        <v>2.9288424129146398</v>
      </c>
    </row>
    <row r="29" spans="1:10">
      <c r="B29" s="39"/>
      <c r="C29" s="35"/>
      <c r="D29" s="35"/>
      <c r="E29" s="417"/>
      <c r="F29" s="417"/>
      <c r="G29" s="417"/>
      <c r="H29" s="417"/>
      <c r="I29" s="417"/>
      <c r="J29" s="410"/>
    </row>
    <row r="30" spans="1:10">
      <c r="B30" s="39" t="str">
        <f t="shared" si="0"/>
        <v>LCA-CO2</v>
      </c>
      <c r="C30" s="35" t="str">
        <f t="shared" si="0"/>
        <v>二氧化碳</v>
      </c>
      <c r="D30" s="35" t="str">
        <f t="shared" si="0"/>
        <v>g/km</v>
      </c>
      <c r="E30" s="380">
        <f>'fuel summary'!E95*'vehicle summary'!$H$4</f>
        <v>17.483678078167411</v>
      </c>
      <c r="F30" s="380">
        <f>'fuel summary'!F95*'vehicle summary'!$H$4</f>
        <v>3.2262015534689246</v>
      </c>
      <c r="G30" s="380">
        <f>'fuel summary'!G95*'vehicle summary'!$H$4</f>
        <v>20.49400690098928</v>
      </c>
      <c r="H30" s="380">
        <f>'fuel summary'!H95*'vehicle summary'!$H$4</f>
        <v>2.1062308972809656</v>
      </c>
      <c r="I30" s="380">
        <f>'fuel summary'!I95*'vehicle summary'!$H$4</f>
        <v>165.01538066346666</v>
      </c>
      <c r="J30" s="383">
        <f>'fuel summary'!J95*'vehicle summary'!$H$4</f>
        <v>208.32549809337326</v>
      </c>
    </row>
    <row r="31" spans="1:10">
      <c r="B31" s="39" t="str">
        <f t="shared" si="0"/>
        <v>LCA-CH4</v>
      </c>
      <c r="C31" s="35" t="str">
        <f t="shared" si="0"/>
        <v>甲烷</v>
      </c>
      <c r="D31" s="35" t="str">
        <f t="shared" si="0"/>
        <v>g/km</v>
      </c>
      <c r="E31" s="380">
        <f>'fuel summary'!E96*'vehicle summary'!$H$4</f>
        <v>6.3487232476101926E-2</v>
      </c>
      <c r="F31" s="380">
        <f>'fuel summary'!F96*'vehicle summary'!$H$4</f>
        <v>7.4163351981865076E-3</v>
      </c>
      <c r="G31" s="380">
        <f>'fuel summary'!G96*'vehicle summary'!$H$4</f>
        <v>2.8727917212574772E-2</v>
      </c>
      <c r="H31" s="380">
        <f>'fuel summary'!H96*'vehicle summary'!$H$4</f>
        <v>2.9190637465350134E-3</v>
      </c>
      <c r="I31" s="380">
        <f>'fuel summary'!I96*'vehicle summary'!$H$4</f>
        <v>9.0935935999999998E-3</v>
      </c>
      <c r="J31" s="383">
        <f>'fuel summary'!J96*'vehicle summary'!$H$4</f>
        <v>0.11164414223339822</v>
      </c>
    </row>
    <row r="32" spans="1:10">
      <c r="B32" s="39" t="str">
        <f t="shared" si="0"/>
        <v>LCA-N2O</v>
      </c>
      <c r="C32" s="35" t="str">
        <f t="shared" si="0"/>
        <v>氧化二氮</v>
      </c>
      <c r="D32" s="35" t="str">
        <f t="shared" si="0"/>
        <v>mg/km</v>
      </c>
      <c r="E32" s="380">
        <f>'fuel summary'!E97*'vehicle summary'!$H$4</f>
        <v>7.0686030441228012E-4</v>
      </c>
      <c r="F32" s="380">
        <f>'fuel summary'!F97*'vehicle summary'!$H$4</f>
        <v>5.2127697388805488E-5</v>
      </c>
      <c r="G32" s="380">
        <f>'fuel summary'!G97*'vehicle summary'!$H$4</f>
        <v>1.5937423923553378E-4</v>
      </c>
      <c r="H32" s="380">
        <f>'fuel summary'!H97*'vehicle summary'!$H$4</f>
        <v>1.4037471829593764E-4</v>
      </c>
      <c r="I32" s="380">
        <f>'fuel summary'!I97*'vehicle summary'!$H$4</f>
        <v>6.3655155200000008E-2</v>
      </c>
      <c r="J32" s="383">
        <f>'fuel summary'!J97*'vehicle summary'!$H$4</f>
        <v>6.4713892159332556E-2</v>
      </c>
    </row>
    <row r="33" spans="1:17" ht="14.25" thickBot="1">
      <c r="B33" s="41" t="str">
        <f t="shared" si="0"/>
        <v>LCA-GHG</v>
      </c>
      <c r="C33" s="42" t="str">
        <f t="shared" si="0"/>
        <v>GHG合计</v>
      </c>
      <c r="D33" s="42" t="str">
        <f t="shared" si="0"/>
        <v>g/km</v>
      </c>
      <c r="E33" s="716">
        <f>'fuel summary'!E98*'vehicle summary'!$H$4</f>
        <v>19.071069534440674</v>
      </c>
      <c r="F33" s="716">
        <f>'fuel summary'!F98*'vehicle summary'!$H$4</f>
        <v>3.4116254674774091</v>
      </c>
      <c r="G33" s="716">
        <f>'fuel summary'!G98*'vehicle summary'!$H$4</f>
        <v>21.212252324826945</v>
      </c>
      <c r="H33" s="716">
        <f>'fuel summary'!H98*'vehicle summary'!$H$4</f>
        <v>2.1792493226103931</v>
      </c>
      <c r="I33" s="716">
        <f>'fuel summary'!I98*'vehicle summary'!$H$4</f>
        <v>165.26168973971622</v>
      </c>
      <c r="J33" s="717">
        <f>'fuel summary'!J98*'vehicle summary'!$H$4</f>
        <v>211.13588638907166</v>
      </c>
    </row>
    <row r="34" spans="1:17" ht="14.25" thickBot="1">
      <c r="D34"/>
      <c r="E34"/>
    </row>
    <row r="35" spans="1:17">
      <c r="A35" t="str">
        <f>A5</f>
        <v>CNG车</v>
      </c>
      <c r="B35" s="36"/>
      <c r="C35" s="37"/>
      <c r="D35" s="37"/>
      <c r="E35" s="37" t="str">
        <f>'fuel summary'!E22</f>
        <v>NG开采处理阶段</v>
      </c>
      <c r="F35" s="37" t="str">
        <f>'fuel summary'!F22</f>
        <v>NG运输阶段</v>
      </c>
      <c r="G35" s="37" t="str">
        <f>'fuel summary'!G22</f>
        <v>NG压缩阶段</v>
      </c>
      <c r="H35" s="37" t="str">
        <f>'fuel summary'!H22</f>
        <v>CNG运输</v>
      </c>
      <c r="I35" s="37" t="str">
        <f>'fuel summary'!I22</f>
        <v>使用阶段</v>
      </c>
      <c r="J35" s="38" t="str">
        <f>'fuel summary'!J22</f>
        <v>合计</v>
      </c>
    </row>
    <row r="36" spans="1:17">
      <c r="B36" s="39" t="str">
        <f t="shared" ref="B36:D36" si="1">B25</f>
        <v>LCA-Coal</v>
      </c>
      <c r="C36" s="35" t="str">
        <f t="shared" si="1"/>
        <v>煤炭</v>
      </c>
      <c r="D36" s="35" t="str">
        <f t="shared" si="1"/>
        <v>MJ/km</v>
      </c>
      <c r="E36" s="417">
        <f>'fuel summary'!E23*'vehicle summary'!$H$5/1000</f>
        <v>1.1649850510143434E-2</v>
      </c>
      <c r="F36" s="417">
        <f>'fuel summary'!F23*'vehicle summary'!$H$5/1000</f>
        <v>1.730236145012685E-3</v>
      </c>
      <c r="G36" s="417">
        <f>'fuel summary'!G23*'vehicle summary'!$H$5/1000</f>
        <v>0.1895625853546353</v>
      </c>
      <c r="H36" s="417">
        <f>'fuel summary'!H23*'vehicle summary'!$H$5/1000</f>
        <v>0</v>
      </c>
      <c r="I36" s="417">
        <f>'fuel summary'!I23*'vehicle summary'!$H$5/1000</f>
        <v>0</v>
      </c>
      <c r="J36" s="410">
        <f>'fuel summary'!J23*'vehicle summary'!$H$5/1000</f>
        <v>0.20294267200979141</v>
      </c>
    </row>
    <row r="37" spans="1:17">
      <c r="B37" s="39" t="str">
        <f t="shared" ref="B37:D37" si="2">B26</f>
        <v>LCA-NG</v>
      </c>
      <c r="C37" s="35" t="str">
        <f t="shared" si="2"/>
        <v>天然气</v>
      </c>
      <c r="D37" s="35" t="str">
        <f t="shared" si="2"/>
        <v>MJ/km</v>
      </c>
      <c r="E37" s="417">
        <f>'fuel summary'!E24*'vehicle summary'!$H$5/1000</f>
        <v>0.2711462008497636</v>
      </c>
      <c r="F37" s="417">
        <f>'fuel summary'!F24*'vehicle summary'!$H$5/1000</f>
        <v>5.9648034905483019E-3</v>
      </c>
      <c r="G37" s="417">
        <f>'fuel summary'!G24*'vehicle summary'!$H$5/1000</f>
        <v>1.7508058515951368E-2</v>
      </c>
      <c r="H37" s="417">
        <f>'fuel summary'!H24*'vehicle summary'!$H$5/1000</f>
        <v>0</v>
      </c>
      <c r="I37" s="417">
        <f>'fuel summary'!I24*'vehicle summary'!$H$5/1000</f>
        <v>2.6231520000000002</v>
      </c>
      <c r="J37" s="410">
        <f>'fuel summary'!J24*'vehicle summary'!$H$5/1000</f>
        <v>2.9177710628562634</v>
      </c>
    </row>
    <row r="38" spans="1:17">
      <c r="B38" s="39" t="str">
        <f t="shared" ref="B38:D38" si="3">B27</f>
        <v>LCA-Oil</v>
      </c>
      <c r="C38" s="35" t="str">
        <f t="shared" si="3"/>
        <v>石油</v>
      </c>
      <c r="D38" s="35" t="str">
        <f t="shared" si="3"/>
        <v>MJ/km</v>
      </c>
      <c r="E38" s="417">
        <f>'fuel summary'!E25*'vehicle summary'!$H$5/1000</f>
        <v>1.2459296826425376E-2</v>
      </c>
      <c r="F38" s="417">
        <f>'fuel summary'!F25*'vehicle summary'!$H$5/1000</f>
        <v>3.1060975391844188E-4</v>
      </c>
      <c r="G38" s="417">
        <f>'fuel summary'!G25*'vehicle summary'!$H$5/1000</f>
        <v>5.4831650082445013E-3</v>
      </c>
      <c r="H38" s="417">
        <f>'fuel summary'!H25*'vehicle summary'!$H$5/1000</f>
        <v>0</v>
      </c>
      <c r="I38" s="417">
        <f>'fuel summary'!I25*'vehicle summary'!$H$5/1000</f>
        <v>0</v>
      </c>
      <c r="J38" s="410">
        <f>'fuel summary'!J25*'vehicle summary'!$H$5/1000</f>
        <v>1.825307158858832E-2</v>
      </c>
    </row>
    <row r="39" spans="1:17">
      <c r="B39" s="39" t="str">
        <f t="shared" ref="B39:D39" si="4">B28</f>
        <v>LCA-PE</v>
      </c>
      <c r="C39" s="35" t="str">
        <f t="shared" si="4"/>
        <v>一次能源总计</v>
      </c>
      <c r="D39" s="35" t="str">
        <f t="shared" si="4"/>
        <v>MJ/km</v>
      </c>
      <c r="E39" s="417">
        <f>'fuel summary'!E26*'vehicle summary'!$H$5/1000</f>
        <v>0.29525534818633248</v>
      </c>
      <c r="F39" s="417">
        <f>'fuel summary'!F26*'vehicle summary'!$H$5/1000</f>
        <v>8.0056493894794297E-3</v>
      </c>
      <c r="G39" s="417">
        <f>'fuel summary'!G26*'vehicle summary'!$H$5/1000</f>
        <v>0.21255380887883119</v>
      </c>
      <c r="H39" s="417">
        <f>'fuel summary'!H26*'vehicle summary'!$H$5/1000</f>
        <v>0</v>
      </c>
      <c r="I39" s="417">
        <f>'fuel summary'!I26*'vehicle summary'!$H$5/1000</f>
        <v>2.6231520000000002</v>
      </c>
      <c r="J39" s="410">
        <f>'fuel summary'!J26*'vehicle summary'!$H$5/1000</f>
        <v>3.1389668064546434</v>
      </c>
    </row>
    <row r="40" spans="1:17">
      <c r="B40" s="39"/>
      <c r="C40" s="35"/>
      <c r="D40" s="35"/>
      <c r="E40" s="417"/>
      <c r="F40" s="417"/>
      <c r="G40" s="417"/>
      <c r="H40" s="417"/>
      <c r="I40" s="417"/>
      <c r="J40" s="410"/>
    </row>
    <row r="41" spans="1:17">
      <c r="B41" s="39" t="str">
        <f t="shared" ref="B41:D41" si="5">B30</f>
        <v>LCA-CO2</v>
      </c>
      <c r="C41" s="35" t="str">
        <f t="shared" si="5"/>
        <v>二氧化碳</v>
      </c>
      <c r="D41" s="35" t="str">
        <f t="shared" si="5"/>
        <v>g/km</v>
      </c>
      <c r="E41" s="417">
        <f>'fuel summary'!E28*'vehicle summary'!$H$5/1000</f>
        <v>17.283089588143532</v>
      </c>
      <c r="F41" s="417">
        <f>'fuel summary'!F28*'vehicle summary'!$H$5/1000</f>
        <v>0.50323447355896544</v>
      </c>
      <c r="G41" s="417">
        <f>'fuel summary'!G28*'vehicle summary'!$H$5/1000</f>
        <v>16.876185516888619</v>
      </c>
      <c r="H41" s="417">
        <f>'fuel summary'!H28*'vehicle summary'!$H$5/1000</f>
        <v>0</v>
      </c>
      <c r="I41" s="417">
        <f>'fuel summary'!I28*'vehicle summary'!$H$5/1000</f>
        <v>149.84231169600002</v>
      </c>
      <c r="J41" s="410">
        <f>'fuel summary'!J28*'vehicle summary'!$H$5/1000</f>
        <v>184.50482127459111</v>
      </c>
    </row>
    <row r="42" spans="1:17">
      <c r="B42" s="39" t="str">
        <f t="shared" ref="B42:D42" si="6">B31</f>
        <v>LCA-CH4</v>
      </c>
      <c r="C42" s="35" t="str">
        <f t="shared" si="6"/>
        <v>甲烷</v>
      </c>
      <c r="D42" s="35" t="str">
        <f t="shared" si="6"/>
        <v>g/km</v>
      </c>
      <c r="E42" s="417">
        <f>'fuel summary'!E29*'vehicle summary'!$H$5/1000</f>
        <v>0.21356940258444096</v>
      </c>
      <c r="F42" s="417">
        <f>'fuel summary'!F29*'vehicle summary'!$H$5/1000</f>
        <v>1.1438502397356247E-3</v>
      </c>
      <c r="G42" s="417">
        <f>'fuel summary'!G29*'vehicle summary'!$H$5/1000</f>
        <v>7.8509164566209447E-2</v>
      </c>
      <c r="H42" s="417">
        <f>'fuel summary'!H29*'vehicle summary'!$H$5/1000</f>
        <v>0</v>
      </c>
      <c r="I42" s="417">
        <f>'fuel summary'!I29*'vehicle summary'!$H$5/1000</f>
        <v>0</v>
      </c>
      <c r="J42" s="410">
        <f>'fuel summary'!J29*'vehicle summary'!$H$5/1000</f>
        <v>0.29322241739038607</v>
      </c>
    </row>
    <row r="43" spans="1:17">
      <c r="B43" s="39" t="str">
        <f t="shared" ref="B43:D43" si="7">B32</f>
        <v>LCA-N2O</v>
      </c>
      <c r="C43" s="35" t="str">
        <f t="shared" si="7"/>
        <v>氧化二氮</v>
      </c>
      <c r="D43" s="35" t="str">
        <f t="shared" si="7"/>
        <v>mg/km</v>
      </c>
      <c r="E43" s="417">
        <f>'fuel summary'!E30*'vehicle summary'!$H$5/1000</f>
        <v>3.6314508967875979E-7</v>
      </c>
      <c r="F43" s="417">
        <f>'fuel summary'!F30*'vehicle summary'!$H$5/1000</f>
        <v>9.8870395494041748E-9</v>
      </c>
      <c r="G43" s="417">
        <f>'fuel summary'!G30*'vehicle summary'!$H$5/1000</f>
        <v>2.6662900227812378E-7</v>
      </c>
      <c r="H43" s="417">
        <f>'fuel summary'!H30*'vehicle summary'!$H$5/1000</f>
        <v>0</v>
      </c>
      <c r="I43" s="417">
        <f>'fuel summary'!I30*'vehicle summary'!$H$5/1000</f>
        <v>0</v>
      </c>
      <c r="J43" s="410">
        <f>'fuel summary'!J30*'vehicle summary'!$H$5/1000</f>
        <v>6.3966113150628782E-7</v>
      </c>
    </row>
    <row r="44" spans="1:17" ht="14.25" thickBot="1">
      <c r="B44" s="41" t="str">
        <f t="shared" ref="B44:D44" si="8">B33</f>
        <v>LCA-GHG</v>
      </c>
      <c r="C44" s="42" t="str">
        <f t="shared" si="8"/>
        <v>GHG合计</v>
      </c>
      <c r="D44" s="42" t="str">
        <f t="shared" si="8"/>
        <v>g/km</v>
      </c>
      <c r="E44" s="708">
        <f>'fuel summary'!E31*'vehicle summary'!$H$5</f>
        <v>22.622324760971793</v>
      </c>
      <c r="F44" s="708">
        <f>'fuel summary'!F31*'vehicle summary'!$H$5</f>
        <v>0.53183073249869395</v>
      </c>
      <c r="G44" s="708">
        <f>'fuel summary'!G31*'vehicle summary'!$H$5</f>
        <v>18.838914710499296</v>
      </c>
      <c r="H44" s="708">
        <f>'fuel summary'!H31*'vehicle summary'!$H$5</f>
        <v>0</v>
      </c>
      <c r="I44" s="708">
        <f>'fuel summary'!I31*'vehicle summary'!$H$5</f>
        <v>149.842311696</v>
      </c>
      <c r="J44" s="415">
        <f>'fuel summary'!J31*'vehicle summary'!$H$5</f>
        <v>191.8353818999698</v>
      </c>
    </row>
    <row r="45" spans="1:17" ht="14.25" thickBot="1">
      <c r="D45"/>
      <c r="E45"/>
      <c r="O45" s="44" t="s">
        <v>1094</v>
      </c>
    </row>
    <row r="46" spans="1:17">
      <c r="A46" s="535" t="s">
        <v>1080</v>
      </c>
      <c r="B46" s="36"/>
      <c r="C46" s="37"/>
      <c r="D46" s="37"/>
      <c r="E46" s="37" t="str">
        <f>'fuel summary'!E35</f>
        <v>NG开采处理阶段</v>
      </c>
      <c r="F46" s="37" t="str">
        <f>'fuel summary'!F35</f>
        <v>NG液化阶段</v>
      </c>
      <c r="G46" s="37" t="str">
        <f>'fuel summary'!G35</f>
        <v>LNG运输阶段</v>
      </c>
      <c r="H46" s="37" t="str">
        <f>'fuel summary'!H35</f>
        <v>LNG输配阶段</v>
      </c>
      <c r="I46" s="37" t="str">
        <f>'fuel summary'!I35</f>
        <v>使用阶段</v>
      </c>
      <c r="J46" s="38" t="str">
        <f>'fuel summary'!J35</f>
        <v>合计</v>
      </c>
      <c r="L46" s="37" t="s">
        <v>1121</v>
      </c>
      <c r="M46" s="37" t="s">
        <v>1122</v>
      </c>
      <c r="N46" s="37" t="s">
        <v>1123</v>
      </c>
      <c r="O46" s="36" t="str">
        <f>H46</f>
        <v>LNG输配阶段</v>
      </c>
      <c r="P46" s="37" t="str">
        <f>I46</f>
        <v>使用阶段</v>
      </c>
      <c r="Q46" s="38" t="str">
        <f>J46</f>
        <v>合计</v>
      </c>
    </row>
    <row r="47" spans="1:17">
      <c r="A47" t="str">
        <f>'fuel summary'!C34</f>
        <v>进口LNG</v>
      </c>
      <c r="B47" s="39" t="str">
        <f t="shared" ref="B47:D47" si="9">B36</f>
        <v>LCA-Coal</v>
      </c>
      <c r="C47" s="35" t="str">
        <f t="shared" si="9"/>
        <v>煤炭</v>
      </c>
      <c r="D47" s="35" t="str">
        <f t="shared" si="9"/>
        <v>MJ/km</v>
      </c>
      <c r="E47" s="417">
        <f>'fuel summary'!E36*'vehicle summary'!$H$6/1000</f>
        <v>1.1118524654601999E-2</v>
      </c>
      <c r="F47" s="417">
        <f>'fuel summary'!F36*'vehicle summary'!$H$6/1000</f>
        <v>2.2765104300450957E-2</v>
      </c>
      <c r="G47" s="417">
        <f>'fuel summary'!G36*'vehicle summary'!$H$6/1000</f>
        <v>3.0239920178280824E-3</v>
      </c>
      <c r="H47" s="417">
        <f>'fuel summary'!H36*'vehicle summary'!$H$6/1000</f>
        <v>9.4942596106372377E-4</v>
      </c>
      <c r="I47" s="417">
        <f>'fuel summary'!I36*'vehicle summary'!$H$6/1000</f>
        <v>0</v>
      </c>
      <c r="J47" s="410">
        <f>'fuel summary'!J36*'vehicle summary'!$H$6/1000</f>
        <v>3.7857046933944767E-2</v>
      </c>
      <c r="L47">
        <v>0</v>
      </c>
      <c r="M47">
        <v>0</v>
      </c>
      <c r="N47">
        <v>0</v>
      </c>
      <c r="O47" s="720">
        <f>H47</f>
        <v>9.4942596106372377E-4</v>
      </c>
      <c r="P47" s="417">
        <f>I47</f>
        <v>0</v>
      </c>
      <c r="Q47" s="410">
        <f>O47+P47</f>
        <v>9.4942596106372377E-4</v>
      </c>
    </row>
    <row r="48" spans="1:17">
      <c r="B48" s="39" t="str">
        <f t="shared" ref="B48:D48" si="10">B37</f>
        <v>LCA-NG</v>
      </c>
      <c r="C48" s="35" t="str">
        <f t="shared" si="10"/>
        <v>天然气</v>
      </c>
      <c r="D48" s="35" t="str">
        <f t="shared" si="10"/>
        <v>MJ/km</v>
      </c>
      <c r="E48" s="417">
        <f>'fuel summary'!E37*'vehicle summary'!$H$6/1000</f>
        <v>0.25877977717609735</v>
      </c>
      <c r="F48" s="417">
        <f>'fuel summary'!F37*'vehicle summary'!$H$6/1000</f>
        <v>0.25556292623181603</v>
      </c>
      <c r="G48" s="417">
        <f>'fuel summary'!G37*'vehicle summary'!$H$6/1000</f>
        <v>2.3573374191004737E-3</v>
      </c>
      <c r="H48" s="417">
        <f>'fuel summary'!H37*'vehicle summary'!$H$6/1000</f>
        <v>6.5118447970512617E-4</v>
      </c>
      <c r="I48" s="417">
        <f>'fuel summary'!I37*'vehicle summary'!$H$6/1000</f>
        <v>2.506021423563213</v>
      </c>
      <c r="J48" s="410">
        <f>'fuel summary'!J37*'vehicle summary'!$H$6/1000</f>
        <v>3.0233726488699317</v>
      </c>
      <c r="L48">
        <v>0</v>
      </c>
      <c r="M48">
        <v>0</v>
      </c>
      <c r="N48">
        <v>0</v>
      </c>
      <c r="O48" s="720">
        <f>H48</f>
        <v>6.5118447970512617E-4</v>
      </c>
      <c r="P48" s="417">
        <f>I48</f>
        <v>2.506021423563213</v>
      </c>
      <c r="Q48" s="410">
        <f t="shared" ref="Q48:Q55" si="11">O48+P48</f>
        <v>2.5066726080429182</v>
      </c>
    </row>
    <row r="49" spans="1:17">
      <c r="B49" s="39" t="str">
        <f t="shared" ref="B49:D49" si="12">B38</f>
        <v>LCA-Oil</v>
      </c>
      <c r="C49" s="35" t="str">
        <f t="shared" si="12"/>
        <v>石油</v>
      </c>
      <c r="D49" s="35" t="str">
        <f t="shared" si="12"/>
        <v>MJ/km</v>
      </c>
      <c r="E49" s="417">
        <f>'fuel summary'!E38*'vehicle summary'!$H$6/1000</f>
        <v>1.1891053779874589E-2</v>
      </c>
      <c r="F49" s="417">
        <f>'fuel summary'!F38*'vehicle summary'!$H$6/1000</f>
        <v>1.203526141819922E-2</v>
      </c>
      <c r="G49" s="417">
        <f>'fuel summary'!G38*'vehicle summary'!$H$6/1000</f>
        <v>5.8239271281818036E-2</v>
      </c>
      <c r="H49" s="417">
        <f>'fuel summary'!H38*'vehicle summary'!$H$6/1000</f>
        <v>1.5068026669576601E-2</v>
      </c>
      <c r="I49" s="417">
        <f>'fuel summary'!I38*'vehicle summary'!$H$6/1000</f>
        <v>0</v>
      </c>
      <c r="J49" s="410">
        <f>'fuel summary'!J38*'vehicle summary'!$H$6/1000</f>
        <v>9.7233613149468448E-2</v>
      </c>
      <c r="L49">
        <v>0</v>
      </c>
      <c r="M49">
        <v>0</v>
      </c>
      <c r="N49">
        <v>0</v>
      </c>
      <c r="O49" s="720">
        <f>H49</f>
        <v>1.5068026669576601E-2</v>
      </c>
      <c r="P49" s="417">
        <f>I49</f>
        <v>0</v>
      </c>
      <c r="Q49" s="410">
        <f t="shared" si="11"/>
        <v>1.5068026669576601E-2</v>
      </c>
    </row>
    <row r="50" spans="1:17">
      <c r="B50" s="39" t="str">
        <f t="shared" ref="B50:D50" si="13">B39</f>
        <v>LCA-PE</v>
      </c>
      <c r="C50" s="35" t="str">
        <f t="shared" si="13"/>
        <v>一次能源总计</v>
      </c>
      <c r="D50" s="35" t="str">
        <f t="shared" si="13"/>
        <v>MJ/km</v>
      </c>
      <c r="E50" s="417">
        <f>'fuel summary'!E39*'vehicle summary'!$H$6/1000</f>
        <v>0.281789355610574</v>
      </c>
      <c r="F50" s="417">
        <f>'fuel summary'!F39*'vehicle summary'!$H$6/1000</f>
        <v>0.29036329195046617</v>
      </c>
      <c r="G50" s="417">
        <f>'fuel summary'!G39*'vehicle summary'!$H$6/1000</f>
        <v>6.3620600718746589E-2</v>
      </c>
      <c r="H50" s="417">
        <f>'fuel summary'!H39*'vehicle summary'!$H$6/1000</f>
        <v>1.6668637110345452E-2</v>
      </c>
      <c r="I50" s="417">
        <f>'fuel summary'!I39*'vehicle summary'!$H$6/1000</f>
        <v>2.506021423563213</v>
      </c>
      <c r="J50" s="410">
        <f>'fuel summary'!J39*'vehicle summary'!$H$6/1000</f>
        <v>3.1584633089533454</v>
      </c>
      <c r="L50">
        <v>0</v>
      </c>
      <c r="M50">
        <v>0</v>
      </c>
      <c r="N50">
        <v>0</v>
      </c>
      <c r="O50" s="720">
        <f>H50</f>
        <v>1.6668637110345452E-2</v>
      </c>
      <c r="P50" s="417">
        <f>I50</f>
        <v>2.506021423563213</v>
      </c>
      <c r="Q50" s="410">
        <f t="shared" si="11"/>
        <v>2.5226900606735585</v>
      </c>
    </row>
    <row r="51" spans="1:17">
      <c r="B51" s="39"/>
      <c r="C51" s="35"/>
      <c r="D51" s="35"/>
      <c r="E51" s="417"/>
      <c r="F51" s="417"/>
      <c r="G51" s="417"/>
      <c r="H51" s="417"/>
      <c r="I51" s="417"/>
      <c r="J51" s="410"/>
      <c r="O51" s="720"/>
      <c r="P51" s="417"/>
      <c r="Q51" s="410"/>
    </row>
    <row r="52" spans="1:17">
      <c r="B52" s="39" t="str">
        <f t="shared" ref="B52:D52" si="14">B41</f>
        <v>LCA-CO2</v>
      </c>
      <c r="C52" s="35" t="str">
        <f t="shared" si="14"/>
        <v>二氧化碳</v>
      </c>
      <c r="D52" s="35" t="str">
        <f t="shared" si="14"/>
        <v>g/km</v>
      </c>
      <c r="E52" s="417">
        <f>'fuel summary'!E41*'vehicle summary'!$H$6/1000</f>
        <v>16.494843219331838</v>
      </c>
      <c r="F52" s="417">
        <f>'fuel summary'!F41*'vehicle summary'!$H$6/1000</f>
        <v>17.273487947967872</v>
      </c>
      <c r="G52" s="417">
        <f>'fuel summary'!G41*'vehicle summary'!$H$6/1000</f>
        <v>4.775607560584274</v>
      </c>
      <c r="H52" s="417">
        <f>'fuel summary'!H41*'vehicle summary'!$H$6/1000</f>
        <v>1.2070005788692726</v>
      </c>
      <c r="I52" s="417">
        <f>'fuel summary'!I41*'vehicle summary'!$H$6/1000</f>
        <v>143.15146177820142</v>
      </c>
      <c r="J52" s="410">
        <f>'fuel summary'!J41*'vehicle summary'!$H$6/1000</f>
        <v>182.90240108495468</v>
      </c>
      <c r="L52">
        <v>0</v>
      </c>
      <c r="M52">
        <v>0</v>
      </c>
      <c r="N52">
        <v>0</v>
      </c>
      <c r="O52" s="720">
        <f>H52</f>
        <v>1.2070005788692726</v>
      </c>
      <c r="P52" s="417">
        <f>I52</f>
        <v>143.15146177820142</v>
      </c>
      <c r="Q52" s="410">
        <f t="shared" si="11"/>
        <v>144.35846235707069</v>
      </c>
    </row>
    <row r="53" spans="1:17">
      <c r="B53" s="39" t="str">
        <f t="shared" ref="B53:D53" si="15">B42</f>
        <v>LCA-CH4</v>
      </c>
      <c r="C53" s="35" t="str">
        <f t="shared" si="15"/>
        <v>甲烷</v>
      </c>
      <c r="D53" s="35" t="str">
        <f t="shared" si="15"/>
        <v>g/km</v>
      </c>
      <c r="E53" s="417">
        <f>'fuel summary'!E42*'vehicle summary'!$H$6/1000</f>
        <v>0.20400937246632234</v>
      </c>
      <c r="F53" s="417">
        <f>'fuel summary'!F42*'vehicle summary'!$H$6/1000</f>
        <v>2.8083436090314079E-2</v>
      </c>
      <c r="G53" s="417">
        <f>'fuel summary'!G42*'vehicle summary'!$H$6/1000</f>
        <v>2.0496185074995506E-3</v>
      </c>
      <c r="H53" s="417">
        <f>'fuel summary'!H42*'vehicle summary'!$H$6/1000</f>
        <v>0</v>
      </c>
      <c r="I53" s="417">
        <f>'fuel summary'!I42*'vehicle summary'!$H$6/1000</f>
        <v>0</v>
      </c>
      <c r="J53" s="410">
        <f>'fuel summary'!J42*'vehicle summary'!$H$6/1000</f>
        <v>0.23414242706413596</v>
      </c>
      <c r="L53">
        <v>0</v>
      </c>
      <c r="M53">
        <v>0</v>
      </c>
      <c r="N53">
        <v>0</v>
      </c>
      <c r="O53" s="720">
        <f>H53</f>
        <v>0</v>
      </c>
      <c r="P53" s="417">
        <f>I53</f>
        <v>0</v>
      </c>
      <c r="Q53" s="410">
        <f t="shared" si="11"/>
        <v>0</v>
      </c>
    </row>
    <row r="54" spans="1:17">
      <c r="B54" s="39" t="str">
        <f t="shared" ref="B54:D54" si="16">B43</f>
        <v>LCA-N2O</v>
      </c>
      <c r="C54" s="35" t="str">
        <f t="shared" si="16"/>
        <v>氧化二氮</v>
      </c>
      <c r="D54" s="35" t="str">
        <f t="shared" si="16"/>
        <v>mg/km</v>
      </c>
      <c r="E54" s="417">
        <f>'fuel summary'!E43*'vehicle summary'!$H$6/1000</f>
        <v>3.4658278484135106E-7</v>
      </c>
      <c r="F54" s="417">
        <f>'fuel summary'!F43*'vehicle summary'!$H$6/1000</f>
        <v>3.5745283130862541E-7</v>
      </c>
      <c r="G54" s="417">
        <f>'fuel summary'!G43*'vehicle summary'!$H$6/1000</f>
        <v>0</v>
      </c>
      <c r="H54" s="417">
        <f>'fuel summary'!H43*'vehicle summary'!$H$6/1000</f>
        <v>0</v>
      </c>
      <c r="I54" s="417">
        <f>'fuel summary'!I43*'vehicle summary'!$H$6/1000</f>
        <v>0</v>
      </c>
      <c r="J54" s="410">
        <f>'fuel summary'!J43*'vehicle summary'!$H$6/1000</f>
        <v>7.0403561614997648E-7</v>
      </c>
      <c r="L54">
        <v>0</v>
      </c>
      <c r="M54">
        <v>0</v>
      </c>
      <c r="N54">
        <v>0</v>
      </c>
      <c r="O54" s="720">
        <f>H54</f>
        <v>0</v>
      </c>
      <c r="P54" s="417">
        <f>I54</f>
        <v>0</v>
      </c>
      <c r="Q54" s="410">
        <f t="shared" si="11"/>
        <v>0</v>
      </c>
    </row>
    <row r="55" spans="1:17" ht="14.25" thickBot="1">
      <c r="B55" s="41" t="str">
        <f t="shared" ref="B55:D55" si="17">B44</f>
        <v>LCA-GHG</v>
      </c>
      <c r="C55" s="42" t="str">
        <f t="shared" si="17"/>
        <v>GHG合计</v>
      </c>
      <c r="D55" s="42" t="str">
        <f t="shared" si="17"/>
        <v>g/km</v>
      </c>
      <c r="E55" s="708">
        <f>'fuel summary'!E44*'vehicle summary'!$H$6</f>
        <v>21.595077634271565</v>
      </c>
      <c r="F55" s="708">
        <f>'fuel summary'!F44*'vehicle summary'!$H$6</f>
        <v>17.975573956746665</v>
      </c>
      <c r="G55" s="708">
        <f>'fuel summary'!G44*'vehicle summary'!$H$6</f>
        <v>4.8268480232717632</v>
      </c>
      <c r="H55" s="708">
        <f>'fuel summary'!H44*'vehicle summary'!$H$6</f>
        <v>1.2070005788692726</v>
      </c>
      <c r="I55" s="708">
        <f>'fuel summary'!I44*'vehicle summary'!$H$6</f>
        <v>143.15146177820142</v>
      </c>
      <c r="J55" s="415">
        <f>'fuel summary'!J44*'vehicle summary'!$H$6</f>
        <v>188.7559619713607</v>
      </c>
      <c r="L55">
        <v>0</v>
      </c>
      <c r="M55">
        <v>0</v>
      </c>
      <c r="N55">
        <v>0</v>
      </c>
      <c r="O55" s="721">
        <f>H55</f>
        <v>1.2070005788692726</v>
      </c>
      <c r="P55" s="708">
        <f>I55</f>
        <v>143.15146177820142</v>
      </c>
      <c r="Q55" s="415">
        <f t="shared" si="11"/>
        <v>144.35846235707069</v>
      </c>
    </row>
    <row r="56" spans="1:17" ht="14.25" thickBot="1">
      <c r="D56"/>
      <c r="E56"/>
    </row>
    <row r="57" spans="1:17">
      <c r="A57" s="535" t="s">
        <v>1080</v>
      </c>
      <c r="B57" s="36"/>
      <c r="C57" s="37"/>
      <c r="D57" s="37"/>
      <c r="E57" s="37" t="str">
        <f>'fuel summary'!E48</f>
        <v>NG开采处理阶段</v>
      </c>
      <c r="F57" s="37"/>
      <c r="G57" s="37" t="str">
        <f>'fuel summary'!G48</f>
        <v>NG液化阶段</v>
      </c>
      <c r="H57" s="37" t="str">
        <f>'fuel summary'!H48</f>
        <v>LNG输配阶段</v>
      </c>
      <c r="I57" s="37" t="str">
        <f>'fuel summary'!I48</f>
        <v>使用阶段</v>
      </c>
      <c r="J57" s="37" t="str">
        <f>'fuel summary'!J48</f>
        <v>合计</v>
      </c>
    </row>
    <row r="58" spans="1:17">
      <c r="A58" t="str">
        <f>'fuel summary'!C47</f>
        <v>国产气田产LNG</v>
      </c>
      <c r="B58" s="39" t="str">
        <f t="shared" ref="B58:D58" si="18">B47</f>
        <v>LCA-Coal</v>
      </c>
      <c r="C58" s="35" t="str">
        <f t="shared" si="18"/>
        <v>煤炭</v>
      </c>
      <c r="D58" s="35" t="str">
        <f t="shared" si="18"/>
        <v>MJ/km</v>
      </c>
      <c r="E58" s="417">
        <f>'fuel summary'!E49*'vehicle summary'!$H$6/1000</f>
        <v>1.1118524654601999E-2</v>
      </c>
      <c r="F58" s="417">
        <f>'fuel summary'!F49*'vehicle summary'!$H$6/1000</f>
        <v>0</v>
      </c>
      <c r="G58" s="417">
        <f>'fuel summary'!G49*'vehicle summary'!$H$6/1000</f>
        <v>0.29042645890486762</v>
      </c>
      <c r="H58" s="417">
        <f>'fuel summary'!H49*'vehicle summary'!$H$6/1000</f>
        <v>9.4942596106372377E-4</v>
      </c>
      <c r="I58" s="417">
        <f>'fuel summary'!I49*'vehicle summary'!$H$6/1000</f>
        <v>0</v>
      </c>
      <c r="J58" s="417">
        <f>'fuel summary'!J49*'vehicle summary'!$H$6/1000</f>
        <v>0.30249440952053341</v>
      </c>
    </row>
    <row r="59" spans="1:17">
      <c r="A59" t="s">
        <v>1118</v>
      </c>
      <c r="B59" s="39" t="str">
        <f t="shared" ref="B59:D59" si="19">B48</f>
        <v>LCA-NG</v>
      </c>
      <c r="C59" s="35" t="str">
        <f t="shared" si="19"/>
        <v>天然气</v>
      </c>
      <c r="D59" s="35" t="str">
        <f t="shared" si="19"/>
        <v>MJ/km</v>
      </c>
      <c r="E59" s="417">
        <f>'fuel summary'!E50*'vehicle summary'!$H$6/1000</f>
        <v>0.25877977717609735</v>
      </c>
      <c r="F59" s="417">
        <f>'fuel summary'!F50*'vehicle summary'!$H$6/1000</f>
        <v>0</v>
      </c>
      <c r="G59" s="417">
        <f>'fuel summary'!G50*'vehicle summary'!$H$6/1000</f>
        <v>2.2581746707258491E-2</v>
      </c>
      <c r="H59" s="417">
        <f>'fuel summary'!H50*'vehicle summary'!$H$6/1000</f>
        <v>6.5118447970512617E-4</v>
      </c>
      <c r="I59" s="417">
        <f>'fuel summary'!I50*'vehicle summary'!$H$6/1000</f>
        <v>2.506021423563213</v>
      </c>
      <c r="J59" s="417">
        <f>'fuel summary'!J50*'vehicle summary'!$H$6/1000</f>
        <v>2.788034131926274</v>
      </c>
    </row>
    <row r="60" spans="1:17">
      <c r="B60" s="39" t="str">
        <f t="shared" ref="B60:D60" si="20">B49</f>
        <v>LCA-Oil</v>
      </c>
      <c r="C60" s="35" t="str">
        <f t="shared" si="20"/>
        <v>石油</v>
      </c>
      <c r="D60" s="35" t="str">
        <f t="shared" si="20"/>
        <v>MJ/km</v>
      </c>
      <c r="E60" s="417">
        <f>'fuel summary'!E51*'vehicle summary'!$H$6/1000</f>
        <v>1.1891053779874589E-2</v>
      </c>
      <c r="F60" s="417">
        <f>'fuel summary'!F51*'vehicle summary'!$H$6/1000</f>
        <v>0</v>
      </c>
      <c r="G60" s="417">
        <f>'fuel summary'!G51*'vehicle summary'!$H$6/1000</f>
        <v>8.2102768705290211E-3</v>
      </c>
      <c r="H60" s="417">
        <f>'fuel summary'!H51*'vehicle summary'!$H$6/1000</f>
        <v>1.5068026669576601E-2</v>
      </c>
      <c r="I60" s="417">
        <f>'fuel summary'!I51*'vehicle summary'!$H$6/1000</f>
        <v>0</v>
      </c>
      <c r="J60" s="417">
        <f>'fuel summary'!J51*'vehicle summary'!$H$6/1000</f>
        <v>3.5169357319980214E-2</v>
      </c>
    </row>
    <row r="61" spans="1:17">
      <c r="B61" s="39" t="str">
        <f t="shared" ref="B61:D61" si="21">B50</f>
        <v>LCA-PE</v>
      </c>
      <c r="C61" s="35" t="str">
        <f t="shared" si="21"/>
        <v>一次能源总计</v>
      </c>
      <c r="D61" s="35" t="str">
        <f t="shared" si="21"/>
        <v>MJ/km</v>
      </c>
      <c r="E61" s="417">
        <f>'fuel summary'!E52*'vehicle summary'!$H$6/1000</f>
        <v>0.281789355610574</v>
      </c>
      <c r="F61" s="417">
        <f>'fuel summary'!F52*'vehicle summary'!$H$6/1000</f>
        <v>0</v>
      </c>
      <c r="G61" s="417">
        <f>'fuel summary'!G52*'vehicle summary'!$H$6/1000</f>
        <v>0.32121848248265517</v>
      </c>
      <c r="H61" s="417">
        <f>'fuel summary'!H52*'vehicle summary'!$H$6/1000</f>
        <v>1.6668637110345452E-2</v>
      </c>
      <c r="I61" s="417">
        <f>'fuel summary'!I52*'vehicle summary'!$H$6/1000</f>
        <v>2.506021423563213</v>
      </c>
      <c r="J61" s="417">
        <f>'fuel summary'!J52*'vehicle summary'!$H$6/1000</f>
        <v>3.1256978987667869</v>
      </c>
    </row>
    <row r="62" spans="1:17">
      <c r="B62" s="39"/>
      <c r="C62" s="35"/>
      <c r="D62" s="35"/>
      <c r="E62" s="417"/>
      <c r="F62" s="417"/>
      <c r="G62" s="417"/>
      <c r="H62" s="417"/>
      <c r="I62" s="417"/>
      <c r="J62" s="410"/>
    </row>
    <row r="63" spans="1:17">
      <c r="B63" s="39" t="str">
        <f t="shared" ref="B63:D63" si="22">B52</f>
        <v>LCA-CO2</v>
      </c>
      <c r="C63" s="35" t="str">
        <f t="shared" si="22"/>
        <v>二氧化碳</v>
      </c>
      <c r="D63" s="35" t="str">
        <f t="shared" si="22"/>
        <v>g/km</v>
      </c>
      <c r="E63" s="417">
        <f>'fuel summary'!E54*'vehicle summary'!$H$6/1000</f>
        <v>16.494843219331838</v>
      </c>
      <c r="F63" s="417">
        <f>'fuel summary'!F54*'vehicle summary'!$H$6/1000</f>
        <v>0</v>
      </c>
      <c r="G63" s="417">
        <f>'fuel summary'!G54*'vehicle summary'!$H$6/1000</f>
        <v>25.600608904255957</v>
      </c>
      <c r="H63" s="417">
        <f>'fuel summary'!H54*'vehicle summary'!$H$6/1000</f>
        <v>1.2070005788692726</v>
      </c>
      <c r="I63" s="417">
        <f>'fuel summary'!I54*'vehicle summary'!$H$6/1000</f>
        <v>143.15146177820142</v>
      </c>
      <c r="J63" s="417">
        <f>'fuel summary'!J54*'vehicle summary'!$H$6/1000</f>
        <v>186.45391448065848</v>
      </c>
    </row>
    <row r="64" spans="1:17">
      <c r="B64" s="39" t="str">
        <f t="shared" ref="B64:D64" si="23">B53</f>
        <v>LCA-CH4</v>
      </c>
      <c r="C64" s="35" t="str">
        <f t="shared" si="23"/>
        <v>甲烷</v>
      </c>
      <c r="D64" s="35" t="str">
        <f t="shared" si="23"/>
        <v>g/km</v>
      </c>
      <c r="E64" s="417">
        <f>'fuel summary'!E55*'vehicle summary'!$H$6/1000</f>
        <v>0.20400937246632234</v>
      </c>
      <c r="F64" s="417">
        <f>'fuel summary'!F55*'vehicle summary'!$H$6/1000</f>
        <v>0</v>
      </c>
      <c r="G64" s="417">
        <f>'fuel summary'!G55*'vehicle summary'!$H$6/1000</f>
        <v>0.11997067916061777</v>
      </c>
      <c r="H64" s="417">
        <f>'fuel summary'!H55*'vehicle summary'!$H$6/1000</f>
        <v>0</v>
      </c>
      <c r="I64" s="417">
        <f>'fuel summary'!I55*'vehicle summary'!$H$6/1000</f>
        <v>0</v>
      </c>
      <c r="J64" s="417">
        <f>'fuel summary'!J55*'vehicle summary'!$H$6/1000</f>
        <v>0.3239800516269401</v>
      </c>
    </row>
    <row r="65" spans="1:10">
      <c r="B65" s="39" t="str">
        <f t="shared" ref="B65:D65" si="24">B54</f>
        <v>LCA-N2O</v>
      </c>
      <c r="C65" s="35" t="str">
        <f t="shared" si="24"/>
        <v>氧化二氮</v>
      </c>
      <c r="D65" s="35" t="str">
        <f t="shared" si="24"/>
        <v>mg/km</v>
      </c>
      <c r="E65" s="417">
        <f>'fuel summary'!E56*'vehicle summary'!$H$6/1000</f>
        <v>3.4658278484135106E-7</v>
      </c>
      <c r="F65" s="417">
        <f>'fuel summary'!F56*'vehicle summary'!$H$6/1000</f>
        <v>0</v>
      </c>
      <c r="G65" s="417">
        <f>'fuel summary'!G56*'vehicle summary'!$H$6/1000</f>
        <v>4.0305222955404704E-7</v>
      </c>
      <c r="H65" s="417">
        <f>'fuel summary'!H56*'vehicle summary'!$H$6/1000</f>
        <v>0</v>
      </c>
      <c r="I65" s="417">
        <f>'fuel summary'!I56*'vehicle summary'!$H$6/1000</f>
        <v>0</v>
      </c>
      <c r="J65" s="417">
        <f>'fuel summary'!J56*'vehicle summary'!$H$6/1000</f>
        <v>7.49635014395398E-7</v>
      </c>
    </row>
    <row r="66" spans="1:10" ht="14.25" thickBot="1">
      <c r="B66" s="41" t="str">
        <f t="shared" ref="B66:D66" si="25">B55</f>
        <v>LCA-GHG</v>
      </c>
      <c r="C66" s="42" t="str">
        <f t="shared" si="25"/>
        <v>GHG合计</v>
      </c>
      <c r="D66" s="42" t="str">
        <f t="shared" si="25"/>
        <v>g/km</v>
      </c>
      <c r="E66" s="417">
        <f>'fuel summary'!E57*'vehicle summary'!$H$6</f>
        <v>21.595077634271565</v>
      </c>
      <c r="F66" s="417">
        <f>'fuel summary'!F57*'vehicle summary'!$H$6</f>
        <v>0</v>
      </c>
      <c r="G66" s="417">
        <f>'fuel summary'!G57*'vehicle summary'!$H$6</f>
        <v>28.599876003380963</v>
      </c>
      <c r="H66" s="417">
        <f>'fuel summary'!H57*'vehicle summary'!$H$6</f>
        <v>1.2070005788692726</v>
      </c>
      <c r="I66" s="417">
        <f>'fuel summary'!I57*'vehicle summary'!$H$6</f>
        <v>143.15146177820142</v>
      </c>
      <c r="J66" s="417">
        <f>'fuel summary'!J57*'vehicle summary'!$H$6</f>
        <v>194.5534159947232</v>
      </c>
    </row>
    <row r="67" spans="1:10" ht="14.25" thickBot="1">
      <c r="D67"/>
      <c r="E67"/>
    </row>
    <row r="68" spans="1:10">
      <c r="A68" s="44" t="s">
        <v>1119</v>
      </c>
      <c r="B68" s="743"/>
      <c r="C68" s="744"/>
      <c r="D68" s="744"/>
      <c r="E68" s="744" t="str">
        <f>'fuel summary'!E61</f>
        <v>NG开采处理阶段</v>
      </c>
      <c r="F68" s="744" t="str">
        <f>'fuel summary'!F61</f>
        <v>NG输配阶段</v>
      </c>
      <c r="G68" s="744" t="str">
        <f>'fuel summary'!G61</f>
        <v>NG液化阶段</v>
      </c>
      <c r="H68" s="744" t="str">
        <f>'fuel summary'!H61</f>
        <v>LNG输配阶段</v>
      </c>
      <c r="I68" s="744" t="str">
        <f>'fuel summary'!I61</f>
        <v>使用阶段</v>
      </c>
      <c r="J68" s="744" t="str">
        <f>'fuel summary'!J61</f>
        <v>合计</v>
      </c>
    </row>
    <row r="69" spans="1:10">
      <c r="A69" s="44" t="str">
        <f>'fuel summary'!C60</f>
        <v>管输气产LNG</v>
      </c>
      <c r="B69" s="242" t="str">
        <f t="shared" ref="B69:D69" si="26">B58</f>
        <v>LCA-Coal</v>
      </c>
      <c r="C69" s="367" t="str">
        <f t="shared" si="26"/>
        <v>煤炭</v>
      </c>
      <c r="D69" s="367" t="str">
        <f t="shared" si="26"/>
        <v>MJ/km</v>
      </c>
      <c r="E69" s="745">
        <f>'fuel summary'!E62*'vehicle summary'!$H$6/1000</f>
        <v>1.1118524654601999E-2</v>
      </c>
      <c r="F69" s="745">
        <f>'fuel summary'!F62*'vehicle summary'!$H$6/1000</f>
        <v>8.2566180655524145E-3</v>
      </c>
      <c r="G69" s="745">
        <f>'fuel summary'!G62*'vehicle summary'!$H$6/1000</f>
        <v>0.29017782158643923</v>
      </c>
      <c r="H69" s="745">
        <f>'fuel summary'!H62*'vehicle summary'!$H$6/1000</f>
        <v>9.4942596106372377E-4</v>
      </c>
      <c r="I69" s="745">
        <f>'fuel summary'!I62*'vehicle summary'!$H$6/1000</f>
        <v>0</v>
      </c>
      <c r="J69" s="745">
        <f>'fuel summary'!J62*'vehicle summary'!$H$6/1000</f>
        <v>0.31050239026765741</v>
      </c>
    </row>
    <row r="70" spans="1:10">
      <c r="A70" s="44" t="s">
        <v>1120</v>
      </c>
      <c r="B70" s="242" t="str">
        <f t="shared" ref="B70:D70" si="27">B59</f>
        <v>LCA-NG</v>
      </c>
      <c r="C70" s="367" t="str">
        <f t="shared" si="27"/>
        <v>天然气</v>
      </c>
      <c r="D70" s="367" t="str">
        <f t="shared" si="27"/>
        <v>MJ/km</v>
      </c>
      <c r="E70" s="745">
        <f>'fuel summary'!E63*'vehicle summary'!$H$6/1000</f>
        <v>0.25877977717609735</v>
      </c>
      <c r="F70" s="745">
        <f>'fuel summary'!F63*'vehicle summary'!$H$6/1000</f>
        <v>2.8463805012679429E-2</v>
      </c>
      <c r="G70" s="745">
        <f>'fuel summary'!G63*'vehicle summary'!$H$6/1000</f>
        <v>2.2562414222994168E-2</v>
      </c>
      <c r="H70" s="745">
        <f>'fuel summary'!H63*'vehicle summary'!$H$6/1000</f>
        <v>6.5118447970512617E-4</v>
      </c>
      <c r="I70" s="745">
        <f>'fuel summary'!I63*'vehicle summary'!$H$6/1000</f>
        <v>2.506021423563213</v>
      </c>
      <c r="J70" s="745">
        <f>'fuel summary'!J63*'vehicle summary'!$H$6/1000</f>
        <v>2.816478604454689</v>
      </c>
    </row>
    <row r="71" spans="1:10">
      <c r="A71" s="44"/>
      <c r="B71" s="242" t="str">
        <f t="shared" ref="B71:D71" si="28">B60</f>
        <v>LCA-Oil</v>
      </c>
      <c r="C71" s="367" t="str">
        <f t="shared" si="28"/>
        <v>石油</v>
      </c>
      <c r="D71" s="367" t="str">
        <f t="shared" si="28"/>
        <v>MJ/km</v>
      </c>
      <c r="E71" s="745">
        <f>'fuel summary'!E64*'vehicle summary'!$H$6/1000</f>
        <v>1.1891053779874589E-2</v>
      </c>
      <c r="F71" s="745">
        <f>'fuel summary'!F64*'vehicle summary'!$H$6/1000</f>
        <v>1.4822173915000456E-3</v>
      </c>
      <c r="G71" s="745">
        <f>'fuel summary'!G64*'vehicle summary'!$H$6/1000</f>
        <v>8.2032479612748829E-3</v>
      </c>
      <c r="H71" s="745">
        <f>'fuel summary'!H64*'vehicle summary'!$H$6/1000</f>
        <v>1.5068026669576601E-2</v>
      </c>
      <c r="I71" s="745">
        <f>'fuel summary'!I64*'vehicle summary'!$H$6/1000</f>
        <v>0</v>
      </c>
      <c r="J71" s="745">
        <f>'fuel summary'!J64*'vehicle summary'!$H$6/1000</f>
        <v>3.6644545802226119E-2</v>
      </c>
    </row>
    <row r="72" spans="1:10">
      <c r="A72" s="44"/>
      <c r="B72" s="242" t="str">
        <f t="shared" ref="B72:D72" si="29">B61</f>
        <v>LCA-PE</v>
      </c>
      <c r="C72" s="367" t="str">
        <f t="shared" si="29"/>
        <v>一次能源总计</v>
      </c>
      <c r="D72" s="367" t="str">
        <f t="shared" si="29"/>
        <v>MJ/km</v>
      </c>
      <c r="E72" s="745">
        <f>'fuel summary'!E65*'vehicle summary'!$H$6/1000</f>
        <v>0.281789355610574</v>
      </c>
      <c r="F72" s="745">
        <f>'fuel summary'!F65*'vehicle summary'!$H$6/1000</f>
        <v>3.8202640469731888E-2</v>
      </c>
      <c r="G72" s="745">
        <f>'fuel summary'!G65*'vehicle summary'!$H$6/1000</f>
        <v>0.32094348377070825</v>
      </c>
      <c r="H72" s="745">
        <f>'fuel summary'!H65*'vehicle summary'!$H$6/1000</f>
        <v>1.6668637110345452E-2</v>
      </c>
      <c r="I72" s="745">
        <f>'fuel summary'!I65*'vehicle summary'!$H$6/1000</f>
        <v>2.506021423563213</v>
      </c>
      <c r="J72" s="745">
        <f>'fuel summary'!J65*'vehicle summary'!$H$6/1000</f>
        <v>3.1636255405245723</v>
      </c>
    </row>
    <row r="73" spans="1:10">
      <c r="A73" s="44"/>
      <c r="B73" s="242"/>
      <c r="C73" s="367"/>
      <c r="D73" s="367"/>
      <c r="E73" s="745"/>
      <c r="F73" s="745"/>
      <c r="G73" s="745"/>
      <c r="H73" s="745"/>
      <c r="I73" s="745"/>
      <c r="J73" s="746"/>
    </row>
    <row r="74" spans="1:10">
      <c r="A74" s="44"/>
      <c r="B74" s="242" t="str">
        <f t="shared" ref="B74:D74" si="30">B63</f>
        <v>LCA-CO2</v>
      </c>
      <c r="C74" s="367" t="str">
        <f t="shared" si="30"/>
        <v>二氧化碳</v>
      </c>
      <c r="D74" s="367" t="str">
        <f t="shared" si="30"/>
        <v>g/km</v>
      </c>
      <c r="E74" s="745">
        <f>'fuel summary'!E67*'vehicle summary'!$H$6/1000</f>
        <v>16.494843219331838</v>
      </c>
      <c r="F74" s="745">
        <f>'fuel summary'!F67*'vehicle summary'!$H$6/1000</f>
        <v>2.401414892165052</v>
      </c>
      <c r="G74" s="745">
        <f>'fuel summary'!G67*'vehicle summary'!$H$6/1000</f>
        <v>25.578691938521878</v>
      </c>
      <c r="H74" s="745">
        <f>'fuel summary'!H67*'vehicle summary'!$H$6/1000</f>
        <v>1.2070005788692726</v>
      </c>
      <c r="I74" s="745">
        <f>'fuel summary'!I67*'vehicle summary'!$H$6/1000</f>
        <v>143.15146177820142</v>
      </c>
      <c r="J74" s="745">
        <f>'fuel summary'!J67*'vehicle summary'!$H$6/1000</f>
        <v>188.8334124070895</v>
      </c>
    </row>
    <row r="75" spans="1:10">
      <c r="A75" s="44"/>
      <c r="B75" s="242" t="str">
        <f t="shared" ref="B75:D75" si="31">B64</f>
        <v>LCA-CH4</v>
      </c>
      <c r="C75" s="367" t="str">
        <f t="shared" si="31"/>
        <v>甲烷</v>
      </c>
      <c r="D75" s="367" t="str">
        <f t="shared" si="31"/>
        <v>g/km</v>
      </c>
      <c r="E75" s="745">
        <f>'fuel summary'!E68*'vehicle summary'!$H$6/1000</f>
        <v>0.20400937246632234</v>
      </c>
      <c r="F75" s="745">
        <f>'fuel summary'!F68*'vehicle summary'!$H$6/1000</f>
        <v>5.4584078484953722E-3</v>
      </c>
      <c r="G75" s="745">
        <f>'fuel summary'!G68*'vehicle summary'!$H$6/1000</f>
        <v>0.1198679709291811</v>
      </c>
      <c r="H75" s="745">
        <f>'fuel summary'!H68*'vehicle summary'!$H$6/1000</f>
        <v>0</v>
      </c>
      <c r="I75" s="745">
        <f>'fuel summary'!I68*'vehicle summary'!$H$6/1000</f>
        <v>0</v>
      </c>
      <c r="J75" s="745">
        <f>'fuel summary'!J68*'vehicle summary'!$H$6/1000</f>
        <v>0.32933575124399878</v>
      </c>
    </row>
    <row r="76" spans="1:10">
      <c r="A76" s="44"/>
      <c r="B76" s="242" t="str">
        <f t="shared" ref="B76:D76" si="32">B65</f>
        <v>LCA-N2O</v>
      </c>
      <c r="C76" s="367" t="str">
        <f t="shared" si="32"/>
        <v>氧化二氮</v>
      </c>
      <c r="D76" s="367" t="str">
        <f t="shared" si="32"/>
        <v>mg/km</v>
      </c>
      <c r="E76" s="745">
        <f>'fuel summary'!E69*'vehicle summary'!$H$6/1000</f>
        <v>3.4658278484135106E-7</v>
      </c>
      <c r="F76" s="745">
        <f>'fuel summary'!F69*'vehicle summary'!$H$6/1000</f>
        <v>4.7180559482441742E-8</v>
      </c>
      <c r="G76" s="745">
        <f>'fuel summary'!G69*'vehicle summary'!$H$6/1000</f>
        <v>4.0270717206196866E-7</v>
      </c>
      <c r="H76" s="745">
        <f>'fuel summary'!H69*'vehicle summary'!$H$6/1000</f>
        <v>0</v>
      </c>
      <c r="I76" s="745">
        <f>'fuel summary'!I69*'vehicle summary'!$H$6/1000</f>
        <v>0</v>
      </c>
      <c r="J76" s="745">
        <f>'fuel summary'!J69*'vehicle summary'!$H$6/1000</f>
        <v>7.9647051638576136E-7</v>
      </c>
    </row>
    <row r="77" spans="1:10" ht="14.25" thickBot="1">
      <c r="A77" s="44"/>
      <c r="B77" s="249" t="str">
        <f t="shared" ref="B77:D77" si="33">B66</f>
        <v>LCA-GHG</v>
      </c>
      <c r="C77" s="250" t="str">
        <f t="shared" si="33"/>
        <v>GHG合计</v>
      </c>
      <c r="D77" s="250" t="str">
        <f t="shared" si="33"/>
        <v>g/km</v>
      </c>
      <c r="E77" s="745">
        <f>'fuel summary'!E70*'vehicle summary'!$H$6</f>
        <v>21.595077634271565</v>
      </c>
      <c r="F77" s="745">
        <f>'fuel summary'!F70*'vehicle summary'!$H$6</f>
        <v>2.5378751024372432</v>
      </c>
      <c r="G77" s="745">
        <f>'fuel summary'!G70*'vehicle summary'!$H$6</f>
        <v>28.575391331758144</v>
      </c>
      <c r="H77" s="745">
        <f>'fuel summary'!H70*'vehicle summary'!$H$6</f>
        <v>1.2070005788692726</v>
      </c>
      <c r="I77" s="745">
        <f>'fuel summary'!I70*'vehicle summary'!$H$6</f>
        <v>143.15146177820142</v>
      </c>
      <c r="J77" s="745">
        <f>'fuel summary'!J70*'vehicle summary'!$H$6</f>
        <v>197.06680642553761</v>
      </c>
    </row>
    <row r="78" spans="1:10" ht="14.25" thickBot="1">
      <c r="A78" s="44" t="s">
        <v>1124</v>
      </c>
      <c r="D78"/>
      <c r="E78"/>
    </row>
    <row r="79" spans="1:10">
      <c r="A79" t="str">
        <f>A7</f>
        <v>乙醇车</v>
      </c>
      <c r="B79" s="36"/>
      <c r="C79" s="37"/>
      <c r="D79" s="37"/>
      <c r="E79" s="37" t="str">
        <f>'fuel summary'!E231</f>
        <v>原料种植</v>
      </c>
      <c r="F79" s="37" t="str">
        <f>'fuel summary'!F231</f>
        <v>原料运输</v>
      </c>
      <c r="G79" s="37" t="str">
        <f>'fuel summary'!G231</f>
        <v>燃料制取</v>
      </c>
      <c r="H79" s="37" t="str">
        <f>'fuel summary'!H231</f>
        <v>燃料输配</v>
      </c>
      <c r="I79" s="37" t="str">
        <f>'fuel summary'!I231</f>
        <v>燃料使用</v>
      </c>
      <c r="J79" s="37" t="str">
        <f>'fuel summary'!J231</f>
        <v>合计</v>
      </c>
    </row>
    <row r="80" spans="1:10">
      <c r="A80" t="str">
        <f>'fuel summary'!B230</f>
        <v>玉米燃料乙醇</v>
      </c>
      <c r="B80" s="39" t="str">
        <f t="shared" ref="B80:D80" si="34">B69</f>
        <v>LCA-Coal</v>
      </c>
      <c r="C80" s="35" t="str">
        <f t="shared" si="34"/>
        <v>煤炭</v>
      </c>
      <c r="D80" s="35" t="str">
        <f t="shared" si="34"/>
        <v>MJ/km</v>
      </c>
      <c r="E80" s="417">
        <f>'fuel summary'!E232*'vehicle summary'!$H$7</f>
        <v>0.25025343301587394</v>
      </c>
      <c r="F80" s="417">
        <f>'fuel summary'!F232*'vehicle summary'!$H$7</f>
        <v>4.5111100567611162E-3</v>
      </c>
      <c r="G80" s="417">
        <f>'fuel summary'!G232*'vehicle summary'!$H$7</f>
        <v>1.5837572360733239</v>
      </c>
      <c r="H80" s="417">
        <f>'fuel summary'!H232*'vehicle summary'!$H$7</f>
        <v>2.5978139924858036E-3</v>
      </c>
      <c r="I80" s="417">
        <f>'fuel summary'!I232*'vehicle summary'!$H$7</f>
        <v>0</v>
      </c>
      <c r="J80" s="417">
        <f>'fuel summary'!J232*'vehicle summary'!$H$7</f>
        <v>1.841119593138445</v>
      </c>
    </row>
    <row r="81" spans="1:10">
      <c r="B81" s="39" t="str">
        <f t="shared" ref="B81:D81" si="35">B70</f>
        <v>LCA-NG</v>
      </c>
      <c r="C81" s="35" t="str">
        <f t="shared" si="35"/>
        <v>天然气</v>
      </c>
      <c r="D81" s="35" t="str">
        <f t="shared" si="35"/>
        <v>MJ/km</v>
      </c>
      <c r="E81" s="417">
        <f>'fuel summary'!E233*'vehicle summary'!$H$7</f>
        <v>8.8083042125633379E-2</v>
      </c>
      <c r="F81" s="417">
        <f>'fuel summary'!F233*'vehicle summary'!$H$7</f>
        <v>3.1915267492739134E-3</v>
      </c>
      <c r="G81" s="417">
        <f>'fuel summary'!G233*'vehicle summary'!$H$7</f>
        <v>3.9144655347968906E-3</v>
      </c>
      <c r="H81" s="417">
        <f>'fuel summary'!H233*'vehicle summary'!$H$7</f>
        <v>1.8288763015567062E-3</v>
      </c>
      <c r="I81" s="417">
        <f>'fuel summary'!I233*'vehicle summary'!$H$7</f>
        <v>0</v>
      </c>
      <c r="J81" s="417">
        <f>'fuel summary'!J233*'vehicle summary'!$H$7</f>
        <v>9.7017910711260896E-2</v>
      </c>
    </row>
    <row r="82" spans="1:10">
      <c r="B82" s="39" t="str">
        <f t="shared" ref="B82:D82" si="36">B71</f>
        <v>LCA-Oil</v>
      </c>
      <c r="C82" s="35" t="str">
        <f t="shared" si="36"/>
        <v>石油</v>
      </c>
      <c r="D82" s="35" t="str">
        <f t="shared" si="36"/>
        <v>MJ/km</v>
      </c>
      <c r="E82" s="417">
        <f>'fuel summary'!E234*'vehicle summary'!$H$7</f>
        <v>0.1675189223674616</v>
      </c>
      <c r="F82" s="417">
        <f>'fuel summary'!F234*'vehicle summary'!$H$7</f>
        <v>7.413393886775943E-2</v>
      </c>
      <c r="G82" s="417">
        <f>'fuel summary'!G234*'vehicle summary'!$H$7</f>
        <v>2.1755654465358251E-2</v>
      </c>
      <c r="H82" s="417">
        <f>'fuel summary'!H234*'vehicle summary'!$H$7</f>
        <v>4.2394992682607005E-2</v>
      </c>
      <c r="I82" s="417">
        <f>'fuel summary'!I234*'vehicle summary'!$H$7</f>
        <v>0</v>
      </c>
      <c r="J82" s="417">
        <f>'fuel summary'!J234*'vehicle summary'!$H$7</f>
        <v>0.30580350838318632</v>
      </c>
    </row>
    <row r="83" spans="1:10">
      <c r="B83" s="39" t="str">
        <f t="shared" ref="B83:D83" si="37">B72</f>
        <v>LCA-PE</v>
      </c>
      <c r="C83" s="35" t="str">
        <f t="shared" si="37"/>
        <v>一次能源总计</v>
      </c>
      <c r="D83" s="35" t="str">
        <f t="shared" si="37"/>
        <v>MJ/km</v>
      </c>
      <c r="E83" s="417">
        <f>'fuel summary'!E235*'vehicle summary'!$H$7</f>
        <v>0.50585539750896891</v>
      </c>
      <c r="F83" s="417">
        <f>'fuel summary'!F235*'vehicle summary'!$H$7</f>
        <v>8.1836575673794459E-2</v>
      </c>
      <c r="G83" s="417">
        <f>'fuel summary'!G235*'vehicle summary'!$H$7</f>
        <v>1.6094273560734791</v>
      </c>
      <c r="H83" s="417">
        <f>'fuel summary'!H235*'vehicle summary'!$H$7</f>
        <v>4.6821682976649515E-2</v>
      </c>
      <c r="I83" s="417">
        <f>'fuel summary'!I235*'vehicle summary'!$H$7</f>
        <v>0</v>
      </c>
      <c r="J83" s="417">
        <f>'fuel summary'!J235*'vehicle summary'!$H$7</f>
        <v>2.243941012232892</v>
      </c>
    </row>
    <row r="84" spans="1:10">
      <c r="B84" s="39"/>
      <c r="C84" s="35"/>
      <c r="D84" s="35"/>
      <c r="E84" s="417"/>
      <c r="F84" s="417"/>
      <c r="G84" s="417"/>
      <c r="H84" s="417"/>
      <c r="I84" s="417"/>
      <c r="J84" s="410"/>
    </row>
    <row r="85" spans="1:10">
      <c r="B85" s="39" t="str">
        <f t="shared" ref="B85:D85" si="38">B74</f>
        <v>LCA-CO2</v>
      </c>
      <c r="C85" s="35" t="str">
        <f t="shared" si="38"/>
        <v>二氧化碳</v>
      </c>
      <c r="D85" s="35" t="str">
        <f t="shared" si="38"/>
        <v>g/km</v>
      </c>
      <c r="E85" s="417">
        <f>'fuel summary'!E237*'vehicle summary'!$H$7</f>
        <v>37.600867511547243</v>
      </c>
      <c r="F85" s="417">
        <f>'fuel summary'!F237*'vehicle summary'!$H$7</f>
        <v>5.9246150768899914</v>
      </c>
      <c r="G85" s="417">
        <f>'fuel summary'!G237*'vehicle summary'!$H$7</f>
        <v>131.10033350162098</v>
      </c>
      <c r="H85" s="417">
        <f>'fuel summary'!H237*'vehicle summary'!$H$7</f>
        <v>3.3346078220815207</v>
      </c>
      <c r="I85" s="417">
        <f>'fuel summary'!I237*'vehicle summary'!$H$7</f>
        <v>0</v>
      </c>
      <c r="J85" s="417">
        <f>'fuel summary'!J237*'vehicle summary'!$H$7</f>
        <v>177.96042391213973</v>
      </c>
    </row>
    <row r="86" spans="1:10">
      <c r="B86" s="39" t="str">
        <f t="shared" ref="B86:D86" si="39">B75</f>
        <v>LCA-CH4</v>
      </c>
      <c r="C86" s="35" t="str">
        <f t="shared" si="39"/>
        <v>甲烷</v>
      </c>
      <c r="D86" s="35" t="str">
        <f t="shared" si="39"/>
        <v>g/km</v>
      </c>
      <c r="E86" s="417">
        <f>'fuel summary'!E238*'vehicle summary'!$H$7</f>
        <v>0.11106545733083488</v>
      </c>
      <c r="F86" s="417">
        <f>'fuel summary'!F238*'vehicle summary'!$H$7</f>
        <v>3.0228529116296129E-3</v>
      </c>
      <c r="G86" s="417">
        <f>'fuel summary'!G238*'vehicle summary'!$H$7</f>
        <v>0.64525420181884574</v>
      </c>
      <c r="H86" s="417">
        <f>'fuel summary'!H238*'vehicle summary'!$H$7</f>
        <v>2.6333705142510756E-3</v>
      </c>
      <c r="I86" s="417">
        <f>'fuel summary'!I238*'vehicle summary'!$H$7</f>
        <v>0</v>
      </c>
      <c r="J86" s="417">
        <f>'fuel summary'!J238*'vehicle summary'!$H$7</f>
        <v>0.76197588257556137</v>
      </c>
    </row>
    <row r="87" spans="1:10">
      <c r="B87" s="39" t="str">
        <f t="shared" ref="B87:D87" si="40">B76</f>
        <v>LCA-N2O</v>
      </c>
      <c r="C87" s="35" t="str">
        <f t="shared" si="40"/>
        <v>氧化二氮</v>
      </c>
      <c r="D87" s="35" t="str">
        <f t="shared" si="40"/>
        <v>mg/km</v>
      </c>
      <c r="E87" s="417">
        <f>'fuel summary'!E239*'vehicle summary'!$H$7</f>
        <v>74.497026172821109</v>
      </c>
      <c r="F87" s="417">
        <f>'fuel summary'!F239*'vehicle summary'!$H$7</f>
        <v>1.8362414879078449E-3</v>
      </c>
      <c r="G87" s="417">
        <f>'fuel summary'!G239*'vehicle summary'!$H$7</f>
        <v>2.0410116702615881E-3</v>
      </c>
      <c r="H87" s="417">
        <f>'fuel summary'!H239*'vehicle summary'!$H$7</f>
        <v>7.4134520252576767E-4</v>
      </c>
      <c r="I87" s="417">
        <f>'fuel summary'!I239*'vehicle summary'!$H$7</f>
        <v>0</v>
      </c>
      <c r="J87" s="417">
        <f>'fuel summary'!J239*'vehicle summary'!$H$7</f>
        <v>74.501644771181802</v>
      </c>
    </row>
    <row r="88" spans="1:10" ht="14.25" thickBot="1">
      <c r="B88" s="41" t="str">
        <f t="shared" ref="B88:D88" si="41">B77</f>
        <v>LCA-GHG</v>
      </c>
      <c r="C88" s="42" t="str">
        <f t="shared" si="41"/>
        <v>GHG合计</v>
      </c>
      <c r="D88" s="42" t="str">
        <f t="shared" si="41"/>
        <v>g/km</v>
      </c>
      <c r="E88" s="417">
        <f>'fuel summary'!E240*'vehicle summary'!$H$7</f>
        <v>62.5776177443188</v>
      </c>
      <c r="F88" s="417">
        <f>'fuel summary'!F240*'vehicle summary'!$H$7</f>
        <v>6.0007335996441276</v>
      </c>
      <c r="G88" s="417">
        <f>'fuel summary'!G240*'vehicle summary'!$H$7</f>
        <v>147.23229676856985</v>
      </c>
      <c r="H88" s="417">
        <f>'fuel summary'!H240*'vehicle summary'!$H$7</f>
        <v>3.4006630058081502</v>
      </c>
      <c r="I88" s="417">
        <f>'fuel summary'!I240*'vehicle summary'!$H$7</f>
        <v>0</v>
      </c>
      <c r="J88" s="417">
        <f>'fuel summary'!J240*'vehicle summary'!$H$7</f>
        <v>219.21131111834094</v>
      </c>
    </row>
    <row r="89" spans="1:10" ht="14.25" thickBot="1">
      <c r="A89" s="44" t="s">
        <v>1125</v>
      </c>
      <c r="D89"/>
      <c r="E89"/>
    </row>
    <row r="90" spans="1:10">
      <c r="A90" t="str">
        <f>A8</f>
        <v>生物柴油车</v>
      </c>
      <c r="B90" s="36"/>
      <c r="C90" s="37"/>
      <c r="D90" s="37"/>
      <c r="E90" s="37" t="str">
        <f>'fuel summary'!E244</f>
        <v>原料种植</v>
      </c>
      <c r="F90" s="37" t="str">
        <f>'fuel summary'!F244</f>
        <v>原料运输</v>
      </c>
      <c r="G90" s="37" t="str">
        <f>'fuel summary'!G244</f>
        <v>燃料制取</v>
      </c>
      <c r="H90" s="37" t="str">
        <f>'fuel summary'!H244</f>
        <v>燃料输配</v>
      </c>
      <c r="I90" s="37" t="str">
        <f>'fuel summary'!I244</f>
        <v>燃料使用</v>
      </c>
      <c r="J90" s="37" t="str">
        <f>'fuel summary'!J244</f>
        <v>合计</v>
      </c>
    </row>
    <row r="91" spans="1:10">
      <c r="A91" t="str">
        <f>'fuel summary'!B243</f>
        <v>小桐子制取生物柴油</v>
      </c>
      <c r="B91" s="39" t="str">
        <f t="shared" ref="B91:D91" si="42">B80</f>
        <v>LCA-Coal</v>
      </c>
      <c r="C91" s="35" t="str">
        <f t="shared" si="42"/>
        <v>煤炭</v>
      </c>
      <c r="D91" s="35" t="str">
        <f t="shared" si="42"/>
        <v>MJ/km</v>
      </c>
      <c r="E91" s="417">
        <f>'fuel summary'!E245*'vehicle summary'!$H$8</f>
        <v>0.17199702000190031</v>
      </c>
      <c r="F91" s="417">
        <f>'fuel summary'!F245*'vehicle summary'!$H$8</f>
        <v>0.12121711001779426</v>
      </c>
      <c r="G91" s="417">
        <f>'fuel summary'!G245*'vehicle summary'!$H$8</f>
        <v>0.4623319319522648</v>
      </c>
      <c r="H91" s="417">
        <f>'fuel summary'!H245*'vehicle summary'!$H$8</f>
        <v>6.4664540543426727E-3</v>
      </c>
      <c r="I91" s="417">
        <f>'fuel summary'!I245*'vehicle summary'!$H$8</f>
        <v>0</v>
      </c>
      <c r="J91" s="417">
        <f>'fuel summary'!J245*'vehicle summary'!$H$8</f>
        <v>0.76201251602630204</v>
      </c>
    </row>
    <row r="92" spans="1:10">
      <c r="B92" s="39" t="str">
        <f t="shared" ref="B92:D92" si="43">B81</f>
        <v>LCA-NG</v>
      </c>
      <c r="C92" s="35" t="str">
        <f t="shared" si="43"/>
        <v>天然气</v>
      </c>
      <c r="D92" s="35" t="str">
        <f t="shared" si="43"/>
        <v>MJ/km</v>
      </c>
      <c r="E92" s="417">
        <f>'fuel summary'!E246*'vehicle summary'!$H$8</f>
        <v>0.10785015486894285</v>
      </c>
      <c r="F92" s="417">
        <f>'fuel summary'!F246*'vehicle summary'!$H$8</f>
        <v>6.6818988887372647E-3</v>
      </c>
      <c r="G92" s="417">
        <f>'fuel summary'!G246*'vehicle summary'!$H$8</f>
        <v>0.45495780839935535</v>
      </c>
      <c r="H92" s="417">
        <f>'fuel summary'!H246*'vehicle summary'!$H$8</f>
        <v>3.5877917571898536E-4</v>
      </c>
      <c r="I92" s="417">
        <f>'fuel summary'!I246*'vehicle summary'!$H$8</f>
        <v>0</v>
      </c>
      <c r="J92" s="417">
        <f>'fuel summary'!J246*'vehicle summary'!$H$8</f>
        <v>0.56984864133275448</v>
      </c>
    </row>
    <row r="93" spans="1:10">
      <c r="B93" s="39" t="str">
        <f t="shared" ref="B93:D93" si="44">B82</f>
        <v>LCA-Oil</v>
      </c>
      <c r="C93" s="35" t="str">
        <f t="shared" si="44"/>
        <v>石油</v>
      </c>
      <c r="D93" s="35" t="str">
        <f t="shared" si="44"/>
        <v>MJ/km</v>
      </c>
      <c r="E93" s="417">
        <f>'fuel summary'!E247*'vehicle summary'!$H$8</f>
        <v>3.4545878514414034E-2</v>
      </c>
      <c r="F93" s="417">
        <f>'fuel summary'!F247*'vehicle summary'!$H$8</f>
        <v>4.7273196111424194E-3</v>
      </c>
      <c r="G93" s="417">
        <f>'fuel summary'!G247*'vehicle summary'!$H$8</f>
        <v>1.1244884128715998E-3</v>
      </c>
      <c r="H93" s="417">
        <f>'fuel summary'!H247*'vehicle summary'!$H$8</f>
        <v>2.5258264597175043E-4</v>
      </c>
      <c r="I93" s="417">
        <f>'fuel summary'!I247*'vehicle summary'!$H$8</f>
        <v>0</v>
      </c>
      <c r="J93" s="417">
        <f>'fuel summary'!J247*'vehicle summary'!$H$8</f>
        <v>4.0650269184399797E-2</v>
      </c>
    </row>
    <row r="94" spans="1:10">
      <c r="B94" s="39" t="str">
        <f t="shared" ref="B94:D94" si="45">B83</f>
        <v>LCA-PE</v>
      </c>
      <c r="C94" s="35" t="str">
        <f t="shared" si="45"/>
        <v>一次能源总计</v>
      </c>
      <c r="D94" s="35" t="str">
        <f t="shared" si="45"/>
        <v>MJ/km</v>
      </c>
      <c r="E94" s="417">
        <f>'fuel summary'!E248*'vehicle summary'!$H$8</f>
        <v>0.31439305338525719</v>
      </c>
      <c r="F94" s="417">
        <f>'fuel summary'!F248*'vehicle summary'!$H$8</f>
        <v>0.13262632851767395</v>
      </c>
      <c r="G94" s="417">
        <f>'fuel summary'!G248*'vehicle summary'!$H$8</f>
        <v>0.91841422876449175</v>
      </c>
      <c r="H94" s="417">
        <f>'fuel summary'!H248*'vehicle summary'!$H$8</f>
        <v>7.0778158760334076E-3</v>
      </c>
      <c r="I94" s="417">
        <f>'fuel summary'!I248*'vehicle summary'!$H$8</f>
        <v>0</v>
      </c>
      <c r="J94" s="417">
        <f>'fuel summary'!J248*'vehicle summary'!$H$8</f>
        <v>1.3725114265434564</v>
      </c>
    </row>
    <row r="95" spans="1:10">
      <c r="B95" s="39"/>
      <c r="C95" s="35"/>
      <c r="D95" s="35"/>
      <c r="E95" s="417"/>
      <c r="F95" s="417"/>
      <c r="G95" s="417"/>
      <c r="H95" s="417"/>
      <c r="I95" s="417"/>
      <c r="J95" s="410"/>
    </row>
    <row r="96" spans="1:10">
      <c r="B96" s="39" t="str">
        <f t="shared" ref="B96:D96" si="46">B85</f>
        <v>LCA-CO2</v>
      </c>
      <c r="C96" s="35" t="str">
        <f t="shared" si="46"/>
        <v>二氧化碳</v>
      </c>
      <c r="D96" s="35" t="str">
        <f t="shared" si="46"/>
        <v>g/km</v>
      </c>
      <c r="E96" s="417">
        <f>'fuel summary'!E250*'vehicle summary'!$H$8</f>
        <v>12.91956778250438</v>
      </c>
      <c r="F96" s="417">
        <f>'fuel summary'!F250*'vehicle summary'!$H$8</f>
        <v>8.7755958955455871</v>
      </c>
      <c r="G96" s="417">
        <f>'fuel summary'!G250*'vehicle summary'!$H$8</f>
        <v>37.660519587081872</v>
      </c>
      <c r="H96" s="417">
        <f>'fuel summary'!H250*'vehicle summary'!$H$8</f>
        <v>1.3816091327705329</v>
      </c>
      <c r="I96" s="417">
        <f>'fuel summary'!I250*'vehicle summary'!$H$8</f>
        <v>0</v>
      </c>
      <c r="J96" s="417">
        <f>'fuel summary'!J250*'vehicle summary'!$H$8</f>
        <v>60.73729239790238</v>
      </c>
    </row>
    <row r="97" spans="1:10">
      <c r="B97" s="39" t="str">
        <f t="shared" ref="B97:D97" si="47">B86</f>
        <v>LCA-CH4</v>
      </c>
      <c r="C97" s="35" t="str">
        <f t="shared" si="47"/>
        <v>甲烷</v>
      </c>
      <c r="D97" s="35" t="str">
        <f t="shared" si="47"/>
        <v>g/km</v>
      </c>
      <c r="E97" s="417">
        <f>'fuel summary'!E251*'vehicle summary'!$H$8</f>
        <v>4.6803529536034137E-2</v>
      </c>
      <c r="F97" s="417">
        <f>'fuel summary'!F251*'vehicle summary'!$H$8</f>
        <v>4.4774783272603516E-3</v>
      </c>
      <c r="G97" s="417">
        <f>'fuel summary'!G251*'vehicle summary'!$H$8</f>
        <v>0.18535886108897701</v>
      </c>
      <c r="H97" s="417">
        <f>'fuel summary'!H251*'vehicle summary'!$H$8</f>
        <v>1.0910694590126756E-3</v>
      </c>
      <c r="I97" s="417">
        <f>'fuel summary'!I251*'vehicle summary'!$H$8</f>
        <v>0</v>
      </c>
      <c r="J97" s="417">
        <f>'fuel summary'!J251*'vehicle summary'!$H$8</f>
        <v>0.23773093841128418</v>
      </c>
    </row>
    <row r="98" spans="1:10">
      <c r="B98" s="39" t="str">
        <f t="shared" ref="B98:D98" si="48">B87</f>
        <v>LCA-N2O</v>
      </c>
      <c r="C98" s="35" t="str">
        <f t="shared" si="48"/>
        <v>氧化二氮</v>
      </c>
      <c r="D98" s="35" t="str">
        <f t="shared" si="48"/>
        <v>mg/km</v>
      </c>
      <c r="E98" s="417">
        <f>'fuel summary'!E252*'vehicle summary'!$H$8</f>
        <v>42.947005650316974</v>
      </c>
      <c r="F98" s="417">
        <f>'fuel summary'!F252*'vehicle summary'!$H$8</f>
        <v>2.7198582617410125E-3</v>
      </c>
      <c r="G98" s="417">
        <f>'fuel summary'!G252*'vehicle summary'!$H$8</f>
        <v>5.8631094164530734E-4</v>
      </c>
      <c r="H98" s="417">
        <f>'fuel summary'!H252*'vehicle summary'!$H$8</f>
        <v>3.0715735012756807E-4</v>
      </c>
      <c r="I98" s="417">
        <f>'fuel summary'!I252*'vehicle summary'!$H$8</f>
        <v>0</v>
      </c>
      <c r="J98" s="417">
        <f>'fuel summary'!J252*'vehicle summary'!$H$8</f>
        <v>42.950618976870494</v>
      </c>
    </row>
    <row r="99" spans="1:10" ht="14.25" thickBot="1">
      <c r="B99" s="41" t="str">
        <f t="shared" ref="B99:D99" si="49">B88</f>
        <v>LCA-GHG</v>
      </c>
      <c r="C99" s="42" t="str">
        <f t="shared" si="49"/>
        <v>GHG合计</v>
      </c>
      <c r="D99" s="42" t="str">
        <f t="shared" si="49"/>
        <v>g/km</v>
      </c>
      <c r="E99" s="417">
        <f>'fuel summary'!E253*'vehicle summary'!$H$8</f>
        <v>26.88786370469969</v>
      </c>
      <c r="F99" s="417">
        <f>'fuel summary'!F253*'vehicle summary'!$H$8</f>
        <v>8.8883433714890945</v>
      </c>
      <c r="G99" s="417">
        <f>'fuel summary'!G253*'vehicle summary'!$H$8</f>
        <v>42.294665834966906</v>
      </c>
      <c r="H99" s="417">
        <f>'fuel summary'!H253*'vehicle summary'!$H$8</f>
        <v>1.4089774021361878</v>
      </c>
      <c r="I99" s="417">
        <f>'fuel summary'!I253*'vehicle summary'!$H$8</f>
        <v>0</v>
      </c>
      <c r="J99" s="417">
        <f>'fuel summary'!J253*'vehicle summary'!$H$8</f>
        <v>79.479850313291891</v>
      </c>
    </row>
    <row r="100" spans="1:10">
      <c r="B100" s="35"/>
      <c r="C100" s="35"/>
      <c r="D100" s="35"/>
      <c r="E100" s="417"/>
      <c r="F100" s="417"/>
      <c r="G100" s="417"/>
      <c r="H100" s="417"/>
      <c r="I100" s="417"/>
      <c r="J100" s="417"/>
    </row>
    <row r="101" spans="1:10" ht="14.25" thickBot="1">
      <c r="D101"/>
      <c r="E101"/>
    </row>
    <row r="102" spans="1:10">
      <c r="A102" s="44" t="str">
        <f>A9</f>
        <v>纯电动车</v>
      </c>
      <c r="B102" s="743"/>
      <c r="C102" s="744"/>
      <c r="D102" s="744"/>
      <c r="E102" s="744" t="str">
        <f>'fuel summary'!E143</f>
        <v>原料开采处理</v>
      </c>
      <c r="F102" s="744" t="str">
        <f>'fuel summary'!F143</f>
        <v>原料运输</v>
      </c>
      <c r="G102" s="744" t="str">
        <f>'fuel summary'!G143</f>
        <v>燃料制备与燃烧</v>
      </c>
      <c r="H102" s="744" t="s">
        <v>1081</v>
      </c>
      <c r="I102" s="744" t="s">
        <v>1082</v>
      </c>
      <c r="J102" s="747" t="str">
        <f>'fuel summary'!I143</f>
        <v>合计</v>
      </c>
    </row>
    <row r="103" spans="1:10">
      <c r="A103" s="44" t="str">
        <f>'fuel summary'!B142</f>
        <v>煤电分阶段</v>
      </c>
      <c r="B103" s="242" t="str">
        <f t="shared" ref="B103:D103" si="50">B91</f>
        <v>LCA-Coal</v>
      </c>
      <c r="C103" s="367" t="str">
        <f t="shared" si="50"/>
        <v>煤炭</v>
      </c>
      <c r="D103" s="367" t="str">
        <f t="shared" si="50"/>
        <v>MJ/km</v>
      </c>
      <c r="E103" s="745">
        <f>'fuel summary'!E144*'vehicle summary'!$H$9</f>
        <v>0.16820036700939911</v>
      </c>
      <c r="F103" s="745">
        <f>'fuel summary'!F144*'vehicle summary'!$H$9</f>
        <v>5.8844805711804754E-3</v>
      </c>
      <c r="G103" s="745">
        <f>'fuel summary'!G144*'vehicle summary'!$H$9</f>
        <v>2.5311807867588807</v>
      </c>
      <c r="H103" s="745">
        <f>'fuel summary'!H144*'vehicle summary'!$H$9</f>
        <v>0</v>
      </c>
      <c r="I103" s="367">
        <v>0</v>
      </c>
      <c r="J103" s="746">
        <f>'fuel summary'!I144*'vehicle summary'!$H$9</f>
        <v>2.7052656343394603</v>
      </c>
    </row>
    <row r="104" spans="1:10">
      <c r="A104" s="44"/>
      <c r="B104" s="242" t="str">
        <f t="shared" ref="B104:D104" si="51">B92</f>
        <v>LCA-NG</v>
      </c>
      <c r="C104" s="367" t="str">
        <f t="shared" si="51"/>
        <v>天然气</v>
      </c>
      <c r="D104" s="367" t="str">
        <f t="shared" si="51"/>
        <v>MJ/km</v>
      </c>
      <c r="E104" s="745">
        <f>'fuel summary'!E145*'vehicle summary'!$H$9</f>
        <v>5.0022917464178735E-3</v>
      </c>
      <c r="F104" s="745">
        <f>'fuel summary'!F145*'vehicle summary'!$H$9</f>
        <v>1.600641824062462E-3</v>
      </c>
      <c r="G104" s="745">
        <f>'fuel summary'!G145*'vehicle summary'!$H$9</f>
        <v>0</v>
      </c>
      <c r="H104" s="745">
        <f>'fuel summary'!H145*'vehicle summary'!$H$9</f>
        <v>0</v>
      </c>
      <c r="I104" s="367">
        <v>0</v>
      </c>
      <c r="J104" s="746">
        <f>'fuel summary'!I145*'vehicle summary'!$H$9</f>
        <v>6.6029335704803358E-3</v>
      </c>
    </row>
    <row r="105" spans="1:10">
      <c r="A105" s="44"/>
      <c r="B105" s="242" t="str">
        <f t="shared" ref="B105:D105" si="52">B93</f>
        <v>LCA-Oil</v>
      </c>
      <c r="C105" s="367" t="str">
        <f t="shared" si="52"/>
        <v>石油</v>
      </c>
      <c r="D105" s="367" t="str">
        <f t="shared" si="52"/>
        <v>MJ/km</v>
      </c>
      <c r="E105" s="745">
        <f>'fuel summary'!E146*'vehicle summary'!$H$9</f>
        <v>6.5676921068215793E-3</v>
      </c>
      <c r="F105" s="745">
        <f>'fuel summary'!F146*'vehicle summary'!$H$9</f>
        <v>3.0055261657146962E-2</v>
      </c>
      <c r="G105" s="745">
        <f>'fuel summary'!G146*'vehicle summary'!$H$9</f>
        <v>0</v>
      </c>
      <c r="H105" s="745">
        <f>'fuel summary'!H146*'vehicle summary'!$H$9</f>
        <v>0</v>
      </c>
      <c r="I105" s="367">
        <v>0</v>
      </c>
      <c r="J105" s="746">
        <f>'fuel summary'!I146*'vehicle summary'!$H$9</f>
        <v>3.6622953763968541E-2</v>
      </c>
    </row>
    <row r="106" spans="1:10">
      <c r="A106" s="44"/>
      <c r="B106" s="242" t="str">
        <f t="shared" ref="B106:D106" si="53">B94</f>
        <v>LCA-PE</v>
      </c>
      <c r="C106" s="367" t="str">
        <f t="shared" si="53"/>
        <v>一次能源总计</v>
      </c>
      <c r="D106" s="367" t="str">
        <f t="shared" si="53"/>
        <v>MJ/km</v>
      </c>
      <c r="E106" s="745">
        <f>'fuel summary'!E147*'vehicle summary'!$H$9</f>
        <v>0.17977035086263857</v>
      </c>
      <c r="F106" s="745">
        <f>'fuel summary'!F147*'vehicle summary'!$H$9</f>
        <v>3.7540384052389901E-2</v>
      </c>
      <c r="G106" s="745">
        <f>'fuel summary'!G147*'vehicle summary'!$H$9</f>
        <v>2.5311807867588807</v>
      </c>
      <c r="H106" s="745">
        <f>'fuel summary'!H147*'vehicle summary'!$H$9</f>
        <v>0</v>
      </c>
      <c r="I106" s="748">
        <v>0</v>
      </c>
      <c r="J106" s="746">
        <f>'fuel summary'!I147*'vehicle summary'!$H$9</f>
        <v>2.748491521673909</v>
      </c>
    </row>
    <row r="107" spans="1:10">
      <c r="A107" s="44"/>
      <c r="B107" s="242"/>
      <c r="C107" s="367"/>
      <c r="D107" s="367"/>
      <c r="E107" s="745"/>
      <c r="F107" s="745"/>
      <c r="G107" s="745"/>
      <c r="H107" s="745"/>
      <c r="I107" s="367"/>
      <c r="J107" s="746"/>
    </row>
    <row r="108" spans="1:10">
      <c r="A108" s="44"/>
      <c r="B108" s="242" t="str">
        <f t="shared" ref="B108:D108" si="54">B96</f>
        <v>LCA-CO2</v>
      </c>
      <c r="C108" s="367" t="str">
        <f t="shared" si="54"/>
        <v>二氧化碳</v>
      </c>
      <c r="D108" s="367" t="str">
        <f t="shared" si="54"/>
        <v>g/km</v>
      </c>
      <c r="E108" s="745">
        <f>'fuel summary'!E149*'vehicle summary'!$H$9</f>
        <v>14.494677565564233</v>
      </c>
      <c r="F108" s="745">
        <f>'fuel summary'!F149*'vehicle summary'!$H$9</f>
        <v>2.7474935785779437</v>
      </c>
      <c r="G108" s="745">
        <f>'fuel summary'!G149*'vehicle summary'!$H$9</f>
        <v>206.65066179256851</v>
      </c>
      <c r="H108" s="745">
        <f>'fuel summary'!H149*'vehicle summary'!$H$9</f>
        <v>0</v>
      </c>
      <c r="I108" s="748">
        <v>0</v>
      </c>
      <c r="J108" s="746">
        <f>'fuel summary'!I149*'vehicle summary'!$H$9</f>
        <v>223.8928329367107</v>
      </c>
    </row>
    <row r="109" spans="1:10">
      <c r="A109" s="44"/>
      <c r="B109" s="242" t="str">
        <f t="shared" ref="B109:D109" si="55">B97</f>
        <v>LCA-CH4</v>
      </c>
      <c r="C109" s="367" t="str">
        <f t="shared" si="55"/>
        <v>甲烷</v>
      </c>
      <c r="D109" s="367" t="str">
        <f t="shared" si="55"/>
        <v>g/km</v>
      </c>
      <c r="E109" s="745">
        <f>'fuel summary'!E150*'vehicle summary'!$H$9</f>
        <v>1.0965697132447554</v>
      </c>
      <c r="F109" s="745">
        <f>'fuel summary'!F150*'vehicle summary'!$H$9</f>
        <v>3.0636604243191941E-3</v>
      </c>
      <c r="G109" s="745">
        <f>'fuel summary'!G150*'vehicle summary'!$H$9</f>
        <v>2.5311807867588803E-3</v>
      </c>
      <c r="H109" s="745">
        <f>'fuel summary'!H150*'vehicle summary'!$H$9</f>
        <v>0</v>
      </c>
      <c r="I109" s="748">
        <v>0</v>
      </c>
      <c r="J109" s="746">
        <f>'fuel summary'!I150*'vehicle summary'!$H$9</f>
        <v>1.1021645544558336</v>
      </c>
    </row>
    <row r="110" spans="1:10">
      <c r="A110" s="44"/>
      <c r="B110" s="242" t="str">
        <f t="shared" ref="B110:D110" si="56">B98</f>
        <v>LCA-N2O</v>
      </c>
      <c r="C110" s="367" t="str">
        <f t="shared" si="56"/>
        <v>氧化二氮</v>
      </c>
      <c r="D110" s="367" t="str">
        <f t="shared" si="56"/>
        <v>mg/km</v>
      </c>
      <c r="E110" s="745">
        <f>'fuel summary'!E151*'vehicle summary'!$H$9</f>
        <v>3.1397005789143855E-4</v>
      </c>
      <c r="F110" s="745">
        <f>'fuel summary'!F151*'vehicle summary'!$H$9</f>
        <v>6.2896334890453738E-4</v>
      </c>
      <c r="G110" s="745">
        <f>'fuel summary'!G151*'vehicle summary'!$H$9</f>
        <v>2.5311807867588803E-3</v>
      </c>
      <c r="H110" s="745">
        <f>'fuel summary'!H151*'vehicle summary'!$H$9</f>
        <v>0</v>
      </c>
      <c r="I110" s="748">
        <v>0</v>
      </c>
      <c r="J110" s="746">
        <f>'fuel summary'!I151*'vehicle summary'!$H$9</f>
        <v>3.4741141935548565E-3</v>
      </c>
    </row>
    <row r="111" spans="1:10" ht="14.25" thickBot="1">
      <c r="A111" s="44"/>
      <c r="B111" s="249" t="str">
        <f t="shared" ref="B111:D111" si="57">B99</f>
        <v>LCA-GHG</v>
      </c>
      <c r="C111" s="250" t="str">
        <f t="shared" si="57"/>
        <v>GHG合计</v>
      </c>
      <c r="D111" s="250" t="str">
        <f t="shared" si="57"/>
        <v>g/km</v>
      </c>
      <c r="E111" s="749">
        <f>'fuel summary'!E152*'vehicle summary'!$H$9</f>
        <v>41.909013959760365</v>
      </c>
      <c r="F111" s="749">
        <f>'fuel summary'!F152*'vehicle summary'!$H$9</f>
        <v>2.824272520263897</v>
      </c>
      <c r="G111" s="749">
        <f>'fuel summary'!G152*'vehicle summary'!$H$9</f>
        <v>206.71469560411191</v>
      </c>
      <c r="H111" s="749">
        <f>'fuel summary'!H152*'vehicle summary'!$H$9</f>
        <v>0</v>
      </c>
      <c r="I111" s="250">
        <v>0</v>
      </c>
      <c r="J111" s="750">
        <f>'fuel summary'!I152*'vehicle summary'!$H$9</f>
        <v>251.44798208413619</v>
      </c>
    </row>
    <row r="112" spans="1:10">
      <c r="A112" s="44"/>
      <c r="B112" s="44"/>
      <c r="C112" s="44"/>
      <c r="D112" s="44"/>
      <c r="E112" s="44"/>
      <c r="F112" s="44"/>
      <c r="G112" s="44"/>
      <c r="H112" s="44"/>
      <c r="I112" s="44"/>
      <c r="J112" s="44"/>
    </row>
    <row r="113" spans="1:10" ht="14.25" thickBo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</row>
    <row r="114" spans="1:10">
      <c r="A114" s="44" t="str">
        <f>A102</f>
        <v>纯电动车</v>
      </c>
      <c r="B114" s="743"/>
      <c r="C114" s="744"/>
      <c r="D114" s="744"/>
      <c r="E114" s="744" t="str">
        <f>'fuel summary'!E155</f>
        <v>原料开采处理</v>
      </c>
      <c r="F114" s="744" t="str">
        <f>'fuel summary'!F155</f>
        <v>原料运输</v>
      </c>
      <c r="G114" s="744" t="str">
        <f>'fuel summary'!G155</f>
        <v>燃料制备与燃烧</v>
      </c>
      <c r="H114" s="744" t="s">
        <v>1081</v>
      </c>
      <c r="I114" s="744" t="s">
        <v>1082</v>
      </c>
      <c r="J114" s="747" t="str">
        <f>'fuel summary'!I155</f>
        <v>合计</v>
      </c>
    </row>
    <row r="115" spans="1:10">
      <c r="A115" s="44" t="str">
        <f>'fuel summary'!B154</f>
        <v>气电分阶段</v>
      </c>
      <c r="B115" s="242" t="str">
        <f t="shared" ref="B115:D115" si="58">B103</f>
        <v>LCA-Coal</v>
      </c>
      <c r="C115" s="367" t="str">
        <f t="shared" si="58"/>
        <v>煤炭</v>
      </c>
      <c r="D115" s="367" t="str">
        <f t="shared" si="58"/>
        <v>MJ/km</v>
      </c>
      <c r="E115" s="745">
        <f>'fuel summary'!E156*'vehicle summary'!$H$9</f>
        <v>8.9058268548124399E-3</v>
      </c>
      <c r="F115" s="745">
        <f>'fuel summary'!F156*'vehicle summary'!$H$9</f>
        <v>6.6134683496601367E-3</v>
      </c>
      <c r="G115" s="745">
        <f>'fuel summary'!G156*'vehicle summary'!$H$9</f>
        <v>0</v>
      </c>
      <c r="H115" s="745">
        <f>'fuel summary'!H156*'vehicle summary'!$H$9</f>
        <v>0</v>
      </c>
      <c r="I115" s="367">
        <v>0</v>
      </c>
      <c r="J115" s="746">
        <f>'fuel summary'!I156*'vehicle summary'!$H$9</f>
        <v>1.5519295204472577E-2</v>
      </c>
    </row>
    <row r="116" spans="1:10">
      <c r="A116" s="44"/>
      <c r="B116" s="242" t="str">
        <f t="shared" ref="B116:D116" si="59">B104</f>
        <v>LCA-NG</v>
      </c>
      <c r="C116" s="367" t="str">
        <f t="shared" si="59"/>
        <v>天然气</v>
      </c>
      <c r="D116" s="367" t="str">
        <f t="shared" si="59"/>
        <v>MJ/km</v>
      </c>
      <c r="E116" s="745">
        <f>'fuel summary'!E157*'vehicle summary'!$H$9</f>
        <v>0.20728000887270281</v>
      </c>
      <c r="F116" s="745">
        <f>'fuel summary'!F157*'vehicle summary'!$H$9</f>
        <v>2.2799222643909274E-2</v>
      </c>
      <c r="G116" s="745">
        <f>'fuel summary'!G157*'vehicle summary'!$H$9</f>
        <v>2.0072980531159748</v>
      </c>
      <c r="H116" s="745">
        <f>'fuel summary'!H157*'vehicle summary'!$H$9</f>
        <v>0</v>
      </c>
      <c r="I116" s="367">
        <v>0</v>
      </c>
      <c r="J116" s="746">
        <f>'fuel summary'!I157*'vehicle summary'!$H$9</f>
        <v>2.2373772846325863</v>
      </c>
    </row>
    <row r="117" spans="1:10">
      <c r="A117" s="44"/>
      <c r="B117" s="242" t="str">
        <f t="shared" ref="B117:D117" si="60">B105</f>
        <v>LCA-Oil</v>
      </c>
      <c r="C117" s="367" t="str">
        <f t="shared" si="60"/>
        <v>石油</v>
      </c>
      <c r="D117" s="367" t="str">
        <f t="shared" si="60"/>
        <v>MJ/km</v>
      </c>
      <c r="E117" s="745">
        <f>'fuel summary'!E158*'vehicle summary'!$H$9</f>
        <v>9.5246149443931668E-3</v>
      </c>
      <c r="F117" s="745">
        <f>'fuel summary'!F158*'vehicle summary'!$H$9</f>
        <v>1.1872412806520573E-3</v>
      </c>
      <c r="G117" s="745">
        <f>'fuel summary'!G158*'vehicle summary'!$H$9</f>
        <v>0</v>
      </c>
      <c r="H117" s="745">
        <f>'fuel summary'!H158*'vehicle summary'!$H$9</f>
        <v>0</v>
      </c>
      <c r="I117" s="367">
        <v>0</v>
      </c>
      <c r="J117" s="746">
        <f>'fuel summary'!I158*'vehicle summary'!$H$9</f>
        <v>1.0711856225045224E-2</v>
      </c>
    </row>
    <row r="118" spans="1:10">
      <c r="A118" s="44"/>
      <c r="B118" s="242" t="str">
        <f t="shared" ref="B118:D118" si="61">B106</f>
        <v>LCA-PE</v>
      </c>
      <c r="C118" s="367" t="str">
        <f t="shared" si="61"/>
        <v>一次能源总计</v>
      </c>
      <c r="D118" s="367" t="str">
        <f t="shared" si="61"/>
        <v>MJ/km</v>
      </c>
      <c r="E118" s="745">
        <f>'fuel summary'!E159*'vehicle summary'!$H$9</f>
        <v>0.2257104506719084</v>
      </c>
      <c r="F118" s="745">
        <f>'fuel summary'!F159*'vehicle summary'!$H$9</f>
        <v>3.0599932274221465E-2</v>
      </c>
      <c r="G118" s="745">
        <f>'fuel summary'!G159*'vehicle summary'!$H$9</f>
        <v>2.0072980531159748</v>
      </c>
      <c r="H118" s="745">
        <f>'fuel summary'!H159*'vehicle summary'!$H$9</f>
        <v>0</v>
      </c>
      <c r="I118" s="748">
        <v>0</v>
      </c>
      <c r="J118" s="746">
        <f>'fuel summary'!I159*'vehicle summary'!$H$9</f>
        <v>2.2636084360621047</v>
      </c>
    </row>
    <row r="119" spans="1:10">
      <c r="A119" s="44"/>
      <c r="B119" s="242"/>
      <c r="C119" s="367"/>
      <c r="D119" s="367"/>
      <c r="E119" s="745"/>
      <c r="F119" s="745"/>
      <c r="G119" s="745"/>
      <c r="H119" s="745"/>
      <c r="I119" s="367"/>
      <c r="J119" s="746"/>
    </row>
    <row r="120" spans="1:10">
      <c r="A120" s="44"/>
      <c r="B120" s="242" t="str">
        <f t="shared" ref="B120:D120" si="62">B108</f>
        <v>LCA-CO2</v>
      </c>
      <c r="C120" s="367" t="str">
        <f t="shared" si="62"/>
        <v>二氧化碳</v>
      </c>
      <c r="D120" s="367" t="str">
        <f t="shared" si="62"/>
        <v>g/km</v>
      </c>
      <c r="E120" s="745">
        <f>'fuel summary'!E161*'vehicle summary'!$H$9</f>
        <v>13.212204161263768</v>
      </c>
      <c r="F120" s="745">
        <f>'fuel summary'!F161*'vehicle summary'!$H$9</f>
        <v>1.9235092694908984</v>
      </c>
      <c r="G120" s="745">
        <f>'fuel summary'!G161*'vehicle summary'!$H$9</f>
        <v>114.66288668814381</v>
      </c>
      <c r="H120" s="745">
        <f>'fuel summary'!H161*'vehicle summary'!$H$9</f>
        <v>0</v>
      </c>
      <c r="I120" s="748">
        <v>0</v>
      </c>
      <c r="J120" s="746">
        <f>'fuel summary'!I161*'vehicle summary'!$H$9</f>
        <v>129.79860011889849</v>
      </c>
    </row>
    <row r="121" spans="1:10">
      <c r="A121" s="44"/>
      <c r="B121" s="242" t="str">
        <f t="shared" ref="B121:D121" si="63">B109</f>
        <v>LCA-CH4</v>
      </c>
      <c r="C121" s="367" t="str">
        <f t="shared" si="63"/>
        <v>甲烷</v>
      </c>
      <c r="D121" s="367" t="str">
        <f t="shared" si="63"/>
        <v>g/km</v>
      </c>
      <c r="E121" s="745">
        <f>'fuel summary'!E162*'vehicle summary'!$H$9</f>
        <v>0.16340946343020402</v>
      </c>
      <c r="F121" s="745">
        <f>'fuel summary'!F162*'vehicle summary'!$H$9</f>
        <v>4.3721300003169514E-3</v>
      </c>
      <c r="G121" s="745">
        <f>'fuel summary'!G162*'vehicle summary'!$H$9</f>
        <v>0</v>
      </c>
      <c r="H121" s="745">
        <f>'fuel summary'!H162*'vehicle summary'!$H$9</f>
        <v>0</v>
      </c>
      <c r="I121" s="748">
        <v>0</v>
      </c>
      <c r="J121" s="746">
        <f>'fuel summary'!I162*'vehicle summary'!$H$9</f>
        <v>0.16778159343052099</v>
      </c>
    </row>
    <row r="122" spans="1:10">
      <c r="A122" s="44"/>
      <c r="B122" s="242" t="str">
        <f t="shared" ref="B122:D122" si="64">B110</f>
        <v>LCA-N2O</v>
      </c>
      <c r="C122" s="367" t="str">
        <f t="shared" si="64"/>
        <v>氧化二氮</v>
      </c>
      <c r="D122" s="367" t="str">
        <f t="shared" si="64"/>
        <v>mg/km</v>
      </c>
      <c r="E122" s="745">
        <f>'fuel summary'!E163*'vehicle summary'!$H$9</f>
        <v>2.7760933833772881E-7</v>
      </c>
      <c r="F122" s="745">
        <f>'fuel summary'!F163*'vehicle summary'!$H$9</f>
        <v>3.7791155456033497E-8</v>
      </c>
      <c r="G122" s="745">
        <f>'fuel summary'!G163*'vehicle summary'!$H$9</f>
        <v>0</v>
      </c>
      <c r="H122" s="745">
        <f>'fuel summary'!H163*'vehicle summary'!$H$9</f>
        <v>0</v>
      </c>
      <c r="I122" s="748">
        <v>0</v>
      </c>
      <c r="J122" s="746">
        <f>'fuel summary'!I163*'vehicle summary'!$H$9</f>
        <v>3.1540049379376227E-7</v>
      </c>
    </row>
    <row r="123" spans="1:10" ht="14.25" thickBot="1">
      <c r="A123" s="44"/>
      <c r="B123" s="249" t="str">
        <f t="shared" ref="B123:D123" si="65">B111</f>
        <v>LCA-GHG</v>
      </c>
      <c r="C123" s="250" t="str">
        <f t="shared" si="65"/>
        <v>GHG合计</v>
      </c>
      <c r="D123" s="250" t="str">
        <f t="shared" si="65"/>
        <v>g/km</v>
      </c>
      <c r="E123" s="749">
        <f>'fuel summary'!E164*'vehicle summary'!$H$9</f>
        <v>17.297440829746449</v>
      </c>
      <c r="F123" s="749">
        <f>'fuel summary'!F164*'vehicle summary'!$H$9</f>
        <v>2.0328125307605864</v>
      </c>
      <c r="G123" s="749">
        <f>'fuel summary'!G164*'vehicle summary'!$H$9</f>
        <v>114.66288668814381</v>
      </c>
      <c r="H123" s="749">
        <f>'fuel summary'!H164*'vehicle summary'!$H$9</f>
        <v>0</v>
      </c>
      <c r="I123" s="250">
        <v>0</v>
      </c>
      <c r="J123" s="750">
        <f>'fuel summary'!I164*'vehicle summary'!$H$9</f>
        <v>133.99314004865087</v>
      </c>
    </row>
    <row r="124" spans="1:10">
      <c r="D124"/>
      <c r="E124"/>
    </row>
    <row r="125" spans="1:10" ht="14.25" thickBot="1">
      <c r="D125"/>
      <c r="E125"/>
    </row>
    <row r="126" spans="1:10">
      <c r="A126" s="44" t="str">
        <f>A114</f>
        <v>纯电动车</v>
      </c>
      <c r="B126" s="743"/>
      <c r="C126" s="744"/>
      <c r="D126" s="744"/>
      <c r="E126" s="744" t="str">
        <f>'fuel summary'!E167</f>
        <v>原料开采处理</v>
      </c>
      <c r="F126" s="744" t="str">
        <f>'fuel summary'!F167</f>
        <v>原料运输</v>
      </c>
      <c r="G126" s="744" t="str">
        <f>'fuel summary'!G167</f>
        <v>燃料制备与燃烧</v>
      </c>
      <c r="H126" s="744" t="s">
        <v>1081</v>
      </c>
      <c r="I126" s="744" t="s">
        <v>1082</v>
      </c>
      <c r="J126" s="747" t="str">
        <f>'fuel summary'!I167</f>
        <v>合计</v>
      </c>
    </row>
    <row r="127" spans="1:10">
      <c r="A127" s="44" t="str">
        <f>'fuel summary'!B166</f>
        <v>油电分阶段</v>
      </c>
      <c r="B127" s="242" t="str">
        <f t="shared" ref="B127:D127" si="66">B115</f>
        <v>LCA-Coal</v>
      </c>
      <c r="C127" s="367" t="str">
        <f t="shared" si="66"/>
        <v>煤炭</v>
      </c>
      <c r="D127" s="367" t="str">
        <f t="shared" si="66"/>
        <v>MJ/km</v>
      </c>
      <c r="E127" s="745">
        <f>'fuel summary'!E168*'vehicle summary'!$H$9</f>
        <v>9.8838152895958903E-2</v>
      </c>
      <c r="F127" s="745">
        <f>'fuel summary'!F168*'vehicle summary'!$H$9</f>
        <v>1.9963189237536028E-2</v>
      </c>
      <c r="G127" s="745">
        <f>'fuel summary'!G168*'vehicle summary'!$H$9</f>
        <v>5.3477433094372535E-2</v>
      </c>
      <c r="H127" s="745">
        <f>'fuel summary'!H168*'vehicle summary'!$H$9</f>
        <v>0</v>
      </c>
      <c r="I127" s="367">
        <v>0</v>
      </c>
      <c r="J127" s="746">
        <f>'fuel summary'!I168*'vehicle summary'!$H$9</f>
        <v>0.17227877522786747</v>
      </c>
    </row>
    <row r="128" spans="1:10">
      <c r="A128" s="44"/>
      <c r="B128" s="242" t="str">
        <f t="shared" ref="B128:D128" si="67">B116</f>
        <v>LCA-NG</v>
      </c>
      <c r="C128" s="367" t="str">
        <f t="shared" si="67"/>
        <v>天然气</v>
      </c>
      <c r="D128" s="367" t="str">
        <f t="shared" si="67"/>
        <v>MJ/km</v>
      </c>
      <c r="E128" s="745">
        <f>'fuel summary'!E169*'vehicle summary'!$H$9</f>
        <v>0.1177163655674094</v>
      </c>
      <c r="F128" s="745">
        <f>'fuel summary'!F169*'vehicle summary'!$H$9</f>
        <v>2.4883791620316387E-3</v>
      </c>
      <c r="G128" s="745">
        <f>'fuel summary'!G169*'vehicle summary'!$H$9</f>
        <v>1.5313081363768641E-2</v>
      </c>
      <c r="H128" s="745">
        <f>'fuel summary'!H169*'vehicle summary'!$H$9</f>
        <v>0</v>
      </c>
      <c r="I128" s="367">
        <v>0</v>
      </c>
      <c r="J128" s="746">
        <f>'fuel summary'!I169*'vehicle summary'!$H$9</f>
        <v>0.13551782609320967</v>
      </c>
    </row>
    <row r="129" spans="1:10">
      <c r="A129" s="44"/>
      <c r="B129" s="242" t="str">
        <f t="shared" ref="B129:D129" si="68">B117</f>
        <v>LCA-Oil</v>
      </c>
      <c r="C129" s="367" t="str">
        <f t="shared" si="68"/>
        <v>石油</v>
      </c>
      <c r="D129" s="367" t="str">
        <f t="shared" si="68"/>
        <v>MJ/km</v>
      </c>
      <c r="E129" s="745">
        <f>'fuel summary'!E170*'vehicle summary'!$H$9</f>
        <v>0.10592576629332293</v>
      </c>
      <c r="F129" s="745">
        <f>'fuel summary'!F170*'vehicle summary'!$H$9</f>
        <v>2.6162489397760232E-2</v>
      </c>
      <c r="G129" s="745">
        <f>'fuel summary'!G170*'vehicle summary'!$H$9</f>
        <v>3.0527368431022288</v>
      </c>
      <c r="H129" s="745">
        <f>'fuel summary'!H170*'vehicle summary'!$H$9</f>
        <v>0</v>
      </c>
      <c r="I129" s="367">
        <v>0</v>
      </c>
      <c r="J129" s="746">
        <f>'fuel summary'!I170*'vehicle summary'!$H$9</f>
        <v>3.1848250987933118</v>
      </c>
    </row>
    <row r="130" spans="1:10">
      <c r="A130" s="44"/>
      <c r="B130" s="242" t="str">
        <f t="shared" ref="B130:D130" si="69">B118</f>
        <v>LCA-PE</v>
      </c>
      <c r="C130" s="367" t="str">
        <f t="shared" si="69"/>
        <v>一次能源总计</v>
      </c>
      <c r="D130" s="367" t="str">
        <f t="shared" si="69"/>
        <v>MJ/km</v>
      </c>
      <c r="E130" s="745">
        <f>'fuel summary'!E171*'vehicle summary'!$H$9</f>
        <v>0.32248028475669122</v>
      </c>
      <c r="F130" s="745">
        <f>'fuel summary'!F171*'vehicle summary'!$H$9</f>
        <v>4.8614057797327893E-2</v>
      </c>
      <c r="G130" s="745">
        <f>'fuel summary'!G171*'vehicle summary'!$H$9</f>
        <v>3.1215273575603697</v>
      </c>
      <c r="H130" s="745">
        <f>'fuel summary'!H171*'vehicle summary'!$H$9</f>
        <v>0</v>
      </c>
      <c r="I130" s="748">
        <v>0</v>
      </c>
      <c r="J130" s="746">
        <f>'fuel summary'!I171*'vehicle summary'!$H$9</f>
        <v>3.4926217001143889</v>
      </c>
    </row>
    <row r="131" spans="1:10">
      <c r="A131" s="44"/>
      <c r="B131" s="242"/>
      <c r="C131" s="367"/>
      <c r="D131" s="367"/>
      <c r="E131" s="745"/>
      <c r="F131" s="745"/>
      <c r="G131" s="745"/>
      <c r="H131" s="745"/>
      <c r="I131" s="367"/>
      <c r="J131" s="746"/>
    </row>
    <row r="132" spans="1:10">
      <c r="A132" s="44"/>
      <c r="B132" s="242" t="str">
        <f t="shared" ref="B132:D132" si="70">B120</f>
        <v>LCA-CO2</v>
      </c>
      <c r="C132" s="367" t="str">
        <f t="shared" si="70"/>
        <v>二氧化碳</v>
      </c>
      <c r="D132" s="367" t="str">
        <f t="shared" si="70"/>
        <v>g/km</v>
      </c>
      <c r="E132" s="745">
        <f>'fuel summary'!E173*'vehicle summary'!$H$9</f>
        <v>20.694182864039984</v>
      </c>
      <c r="F132" s="745">
        <f>'fuel summary'!F173*'vehicle summary'!$H$9</f>
        <v>3.7040659560926756</v>
      </c>
      <c r="G132" s="745">
        <f>'fuel summary'!G173*'vehicle summary'!$H$9</f>
        <v>236.08749064516351</v>
      </c>
      <c r="H132" s="745">
        <f>'fuel summary'!H173*'vehicle summary'!$H$9</f>
        <v>0</v>
      </c>
      <c r="I132" s="748">
        <v>0</v>
      </c>
      <c r="J132" s="746">
        <f>'fuel summary'!I173*'vehicle summary'!$H$9</f>
        <v>260.48573946529621</v>
      </c>
    </row>
    <row r="133" spans="1:10">
      <c r="A133" s="44"/>
      <c r="B133" s="242" t="str">
        <f t="shared" ref="B133:D133" si="71">B121</f>
        <v>LCA-CH4</v>
      </c>
      <c r="C133" s="367" t="str">
        <f t="shared" si="71"/>
        <v>甲烷</v>
      </c>
      <c r="D133" s="367" t="str">
        <f t="shared" si="71"/>
        <v>g/km</v>
      </c>
      <c r="E133" s="745">
        <f>'fuel summary'!E174*'vehicle summary'!$H$9</f>
        <v>7.5145309386180498E-2</v>
      </c>
      <c r="F133" s="745">
        <f>'fuel summary'!F174*'vehicle summary'!$H$9</f>
        <v>8.5148414540427986E-3</v>
      </c>
      <c r="G133" s="745">
        <f>'fuel summary'!G174*'vehicle summary'!$H$9</f>
        <v>3.0649585711453653E-2</v>
      </c>
      <c r="H133" s="745">
        <f>'fuel summary'!H174*'vehicle summary'!$H$9</f>
        <v>0</v>
      </c>
      <c r="I133" s="748">
        <v>0</v>
      </c>
      <c r="J133" s="746">
        <f>'fuel summary'!I174*'vehicle summary'!$H$9</f>
        <v>0.11430973655167696</v>
      </c>
    </row>
    <row r="134" spans="1:10">
      <c r="A134" s="44"/>
      <c r="B134" s="242" t="str">
        <f t="shared" ref="B134:D134" si="72">B122</f>
        <v>LCA-N2O</v>
      </c>
      <c r="C134" s="367" t="str">
        <f t="shared" si="72"/>
        <v>氧化二氮</v>
      </c>
      <c r="D134" s="367" t="str">
        <f t="shared" si="72"/>
        <v>mg/km</v>
      </c>
      <c r="E134" s="745">
        <f>'fuel summary'!E175*'vehicle summary'!$H$9</f>
        <v>8.3666013143453776E-4</v>
      </c>
      <c r="F134" s="745">
        <f>'fuel summary'!F175*'vehicle summary'!$H$9</f>
        <v>5.9848842692349576E-5</v>
      </c>
      <c r="G134" s="745">
        <f>'fuel summary'!G175*'vehicle summary'!$H$9</f>
        <v>2.9536143491069498E-4</v>
      </c>
      <c r="H134" s="745">
        <f>'fuel summary'!H175*'vehicle summary'!$H$9</f>
        <v>0</v>
      </c>
      <c r="I134" s="748">
        <v>0</v>
      </c>
      <c r="J134" s="746">
        <f>'fuel summary'!I175*'vehicle summary'!$H$9</f>
        <v>1.1918704090375825E-3</v>
      </c>
    </row>
    <row r="135" spans="1:10" ht="14.25" thickBot="1">
      <c r="A135" s="44"/>
      <c r="B135" s="249" t="str">
        <f t="shared" ref="B135:D135" si="73">B123</f>
        <v>LCA-GHG</v>
      </c>
      <c r="C135" s="250" t="str">
        <f t="shared" si="73"/>
        <v>GHG合计</v>
      </c>
      <c r="D135" s="250" t="str">
        <f t="shared" si="73"/>
        <v>g/km</v>
      </c>
      <c r="E135" s="749">
        <f>'fuel summary'!E176*'vehicle summary'!$H$9</f>
        <v>22.573064923413664</v>
      </c>
      <c r="F135" s="749">
        <f>'fuel summary'!F176*'vehicle summary'!$H$9</f>
        <v>3.9169548273988681</v>
      </c>
      <c r="G135" s="749">
        <f>'fuel summary'!G176*'vehicle summary'!$H$9</f>
        <v>236.85381830565748</v>
      </c>
      <c r="H135" s="749">
        <f>'fuel summary'!H176*'vehicle summary'!$H$9</f>
        <v>0</v>
      </c>
      <c r="I135" s="250">
        <v>0</v>
      </c>
      <c r="J135" s="750">
        <f>'fuel summary'!I176*'vehicle summary'!$H$9</f>
        <v>263.34383805647008</v>
      </c>
    </row>
    <row r="136" spans="1:10">
      <c r="D136"/>
      <c r="E136"/>
    </row>
    <row r="137" spans="1:10" ht="14.25" thickBot="1">
      <c r="D137"/>
      <c r="E137"/>
    </row>
    <row r="138" spans="1:10">
      <c r="A138" t="str">
        <f>A114</f>
        <v>纯电动车</v>
      </c>
      <c r="B138" s="36"/>
      <c r="C138" s="37"/>
      <c r="D138" s="37"/>
      <c r="E138" s="37" t="str">
        <f>'fuel summary'!E179</f>
        <v>原料开采处理</v>
      </c>
      <c r="F138" s="37" t="str">
        <f>'fuel summary'!F179</f>
        <v>原料运输</v>
      </c>
      <c r="G138" s="37" t="str">
        <f>'fuel summary'!G179</f>
        <v>燃料制备与燃烧</v>
      </c>
      <c r="H138" s="666" t="s">
        <v>1081</v>
      </c>
      <c r="I138" s="666" t="s">
        <v>1082</v>
      </c>
      <c r="J138" s="38" t="str">
        <f>'fuel summary'!I179</f>
        <v>合计</v>
      </c>
    </row>
    <row r="139" spans="1:10">
      <c r="A139" t="str">
        <f>'fuel summary'!B178</f>
        <v>网电分阶段</v>
      </c>
      <c r="B139" s="39" t="str">
        <f t="shared" ref="B139:D139" si="74">B127</f>
        <v>LCA-Coal</v>
      </c>
      <c r="C139" s="35" t="str">
        <f t="shared" si="74"/>
        <v>煤炭</v>
      </c>
      <c r="D139" s="35" t="str">
        <f t="shared" si="74"/>
        <v>MJ/km</v>
      </c>
      <c r="E139" s="417">
        <f>'fuel summary'!E180*'vehicle summary'!$H$9</f>
        <v>0.13656992151463962</v>
      </c>
      <c r="F139" s="417">
        <f>'fuel summary'!F180*'vehicle summary'!$H$9</f>
        <v>5.1191006222388296E-3</v>
      </c>
      <c r="G139" s="417">
        <f>'fuel summary'!G180*'vehicle summary'!$H$9</f>
        <v>1.9321284067869948</v>
      </c>
      <c r="H139" s="417">
        <f>'fuel summary'!H180*'vehicle summary'!$H$9</f>
        <v>0</v>
      </c>
      <c r="I139" s="35">
        <v>0</v>
      </c>
      <c r="J139" s="410">
        <f>'fuel summary'!I180*'vehicle summary'!$H$9</f>
        <v>2.0738174289238733</v>
      </c>
    </row>
    <row r="140" spans="1:10">
      <c r="B140" s="39" t="str">
        <f t="shared" ref="B140:D140" si="75">B128</f>
        <v>LCA-NG</v>
      </c>
      <c r="C140" s="35" t="str">
        <f t="shared" si="75"/>
        <v>天然气</v>
      </c>
      <c r="D140" s="35" t="str">
        <f t="shared" si="75"/>
        <v>MJ/km</v>
      </c>
      <c r="E140" s="417">
        <f>'fuel summary'!E181*'vehicle summary'!$H$9</f>
        <v>7.5766903312030048E-3</v>
      </c>
      <c r="F140" s="417">
        <f>'fuel summary'!F181*'vehicle summary'!$H$9</f>
        <v>1.4864994844979661E-3</v>
      </c>
      <c r="G140" s="417">
        <f>'fuel summary'!G181*'vehicle summary'!$H$9</f>
        <v>0.15218389515597774</v>
      </c>
      <c r="H140" s="417">
        <f>'fuel summary'!H181*'vehicle summary'!$H$9</f>
        <v>0</v>
      </c>
      <c r="I140" s="35">
        <v>0</v>
      </c>
      <c r="J140" s="410">
        <f>'fuel summary'!I181*'vehicle summary'!$H$9</f>
        <v>0.16124708497167872</v>
      </c>
    </row>
    <row r="141" spans="1:10">
      <c r="B141" s="39" t="str">
        <f t="shared" ref="B141:D141" si="76">B129</f>
        <v>LCA-Oil</v>
      </c>
      <c r="C141" s="35" t="str">
        <f t="shared" si="76"/>
        <v>石油</v>
      </c>
      <c r="D141" s="35" t="str">
        <f t="shared" si="76"/>
        <v>MJ/km</v>
      </c>
      <c r="E141" s="417">
        <f>'fuel summary'!E182*'vehicle summary'!$H$9</f>
        <v>7.2340574754546491E-3</v>
      </c>
      <c r="F141" s="417">
        <f>'fuel summary'!F182*'vehicle summary'!$H$9</f>
        <v>2.4553500085498961E-2</v>
      </c>
      <c r="G141" s="417">
        <f>'fuel summary'!G182*'vehicle summary'!$H$9</f>
        <v>2.6838696171564935E-2</v>
      </c>
      <c r="H141" s="417">
        <f>'fuel summary'!H182*'vehicle summary'!$H$9</f>
        <v>0</v>
      </c>
      <c r="I141" s="35">
        <v>0</v>
      </c>
      <c r="J141" s="410">
        <f>'fuel summary'!I182*'vehicle summary'!$H$9</f>
        <v>5.8626253732518542E-2</v>
      </c>
    </row>
    <row r="142" spans="1:10">
      <c r="B142" s="39" t="str">
        <f t="shared" ref="B142:D142" si="77">B130</f>
        <v>LCA-PE</v>
      </c>
      <c r="C142" s="35" t="str">
        <f t="shared" si="77"/>
        <v>一次能源总计</v>
      </c>
      <c r="D142" s="35" t="str">
        <f t="shared" si="77"/>
        <v>MJ/km</v>
      </c>
      <c r="E142" s="417">
        <f>'fuel summary'!E183*'vehicle summary'!$H$9</f>
        <v>0.15138066932129729</v>
      </c>
      <c r="F142" s="417">
        <f>'fuel summary'!F183*'vehicle summary'!$H$9</f>
        <v>3.1159100192235757E-2</v>
      </c>
      <c r="G142" s="417">
        <f>'fuel summary'!G183*'vehicle summary'!$H$9</f>
        <v>2.1111509981145375</v>
      </c>
      <c r="H142" s="417">
        <f>'fuel summary'!H183*'vehicle summary'!$H$9</f>
        <v>0</v>
      </c>
      <c r="I142" s="360">
        <v>0</v>
      </c>
      <c r="J142" s="410">
        <f>'fuel summary'!I183*'vehicle summary'!$H$9</f>
        <v>2.2936907676280707</v>
      </c>
    </row>
    <row r="143" spans="1:10">
      <c r="B143" s="39"/>
      <c r="C143" s="35"/>
      <c r="D143" s="35"/>
      <c r="E143" s="417"/>
      <c r="F143" s="417"/>
      <c r="G143" s="417"/>
      <c r="H143" s="417"/>
      <c r="I143" s="35"/>
      <c r="J143" s="410"/>
    </row>
    <row r="144" spans="1:10">
      <c r="B144" s="39" t="str">
        <f t="shared" ref="B144:D144" si="78">B132</f>
        <v>LCA-CO2</v>
      </c>
      <c r="C144" s="35" t="str">
        <f t="shared" si="78"/>
        <v>二氧化碳</v>
      </c>
      <c r="D144" s="35" t="str">
        <f t="shared" si="78"/>
        <v>g/km</v>
      </c>
      <c r="E144" s="417">
        <f>'fuel summary'!E185*'vehicle summary'!$H$9</f>
        <v>12.075217450698515</v>
      </c>
      <c r="F144" s="417">
        <f>'fuel summary'!F185*'vehicle summary'!$H$9</f>
        <v>2.2808801085370374</v>
      </c>
      <c r="G144" s="417">
        <f>'fuel summary'!G185*'vehicle summary'!$H$9</f>
        <v>170.57939513427732</v>
      </c>
      <c r="H144" s="417">
        <f>'fuel summary'!H185*'vehicle summary'!$H$9</f>
        <v>0</v>
      </c>
      <c r="I144" s="360">
        <v>0</v>
      </c>
      <c r="J144" s="410">
        <f>'fuel summary'!I185*'vehicle summary'!$H$9</f>
        <v>182.80355425226679</v>
      </c>
    </row>
    <row r="145" spans="1:15">
      <c r="B145" s="39" t="str">
        <f t="shared" ref="B145:D145" si="79">B133</f>
        <v>LCA-CH4</v>
      </c>
      <c r="C145" s="35" t="str">
        <f t="shared" si="79"/>
        <v>甲烷</v>
      </c>
      <c r="D145" s="35" t="str">
        <f t="shared" si="79"/>
        <v>g/km</v>
      </c>
      <c r="E145" s="417">
        <f>'fuel summary'!E186*'vehicle summary'!$H$9</f>
        <v>0.85144487897905163</v>
      </c>
      <c r="F145" s="417">
        <f>'fuel summary'!F186*'vehicle summary'!$H$9</f>
        <v>2.6378640560546633E-3</v>
      </c>
      <c r="G145" s="417">
        <f>'fuel summary'!G186*'vehicle summary'!$H$9</f>
        <v>2.5791683530000287E-3</v>
      </c>
      <c r="H145" s="417">
        <f>'fuel summary'!H186*'vehicle summary'!$H$9</f>
        <v>0</v>
      </c>
      <c r="I145" s="360">
        <v>0</v>
      </c>
      <c r="J145" s="410">
        <f>'fuel summary'!I186*'vehicle summary'!$H$9</f>
        <v>0.85666191138810643</v>
      </c>
    </row>
    <row r="146" spans="1:15">
      <c r="B146" s="39" t="str">
        <f t="shared" ref="B146:D146" si="80">B134</f>
        <v>LCA-N2O</v>
      </c>
      <c r="C146" s="35" t="str">
        <f t="shared" si="80"/>
        <v>氧化二氮</v>
      </c>
      <c r="D146" s="35" t="str">
        <f t="shared" si="80"/>
        <v>mg/km</v>
      </c>
      <c r="E146" s="417">
        <f>'fuel summary'!E187*'vehicle summary'!$H$9</f>
        <v>2.6655184200223233E-4</v>
      </c>
      <c r="F146" s="417">
        <f>'fuel summary'!F187*'vehicle summary'!$H$9</f>
        <v>5.0487718617908477E-4</v>
      </c>
      <c r="G146" s="417">
        <f>'fuel summary'!G187*'vehicle summary'!$H$9</f>
        <v>2.0327923160222555E-3</v>
      </c>
      <c r="H146" s="417">
        <f>'fuel summary'!H187*'vehicle summary'!$H$9</f>
        <v>0</v>
      </c>
      <c r="I146" s="360">
        <v>0</v>
      </c>
      <c r="J146" s="410">
        <f>'fuel summary'!I187*'vehicle summary'!$H$9</f>
        <v>2.8780323306892733E-3</v>
      </c>
    </row>
    <row r="147" spans="1:15" ht="14.25" thickBot="1">
      <c r="B147" s="41" t="str">
        <f t="shared" ref="B147:D147" si="81">B135</f>
        <v>LCA-GHG</v>
      </c>
      <c r="C147" s="42" t="str">
        <f t="shared" si="81"/>
        <v>GHG合计</v>
      </c>
      <c r="D147" s="42" t="str">
        <f t="shared" si="81"/>
        <v>g/km</v>
      </c>
      <c r="E147" s="708">
        <f>'fuel summary'!E188*'vehicle summary'!$H$9</f>
        <v>33.361418857623725</v>
      </c>
      <c r="F147" s="708">
        <f>'fuel summary'!F188*'vehicle summary'!$H$9</f>
        <v>2.346977163339885</v>
      </c>
      <c r="G147" s="708">
        <f>'fuel summary'!G188*'vehicle summary'!$H$9</f>
        <v>170.64448011521247</v>
      </c>
      <c r="H147" s="708">
        <f>'fuel summary'!H188*'vehicle summary'!$H$9</f>
        <v>0</v>
      </c>
      <c r="I147" s="42">
        <v>0</v>
      </c>
      <c r="J147" s="415">
        <f>'fuel summary'!I188*'vehicle summary'!$H$9</f>
        <v>204.22095969060402</v>
      </c>
    </row>
    <row r="148" spans="1:15">
      <c r="D148"/>
      <c r="E148"/>
    </row>
    <row r="149" spans="1:15">
      <c r="D149"/>
      <c r="E149"/>
    </row>
    <row r="150" spans="1:15">
      <c r="A150" s="535" t="s">
        <v>1095</v>
      </c>
      <c r="C150" t="str">
        <f>B22</f>
        <v>LCA-GHG</v>
      </c>
      <c r="D150" t="str">
        <f>D22</f>
        <v>g/km</v>
      </c>
    </row>
    <row r="151" spans="1:15">
      <c r="D151"/>
      <c r="E151" s="535" t="s">
        <v>1103</v>
      </c>
      <c r="F151" s="535" t="s">
        <v>1096</v>
      </c>
      <c r="G151" s="535" t="s">
        <v>1097</v>
      </c>
      <c r="H151" s="535" t="s">
        <v>1098</v>
      </c>
      <c r="I151" s="535" t="s">
        <v>1099</v>
      </c>
      <c r="J151" s="535" t="s">
        <v>1106</v>
      </c>
    </row>
    <row r="152" spans="1:15">
      <c r="C152" t="str">
        <f>A3</f>
        <v>汽油车</v>
      </c>
      <c r="D152" s="535" t="s">
        <v>1100</v>
      </c>
      <c r="E152" s="444">
        <f>E22</f>
        <v>21.098345324297039</v>
      </c>
      <c r="F152" s="444">
        <f t="shared" ref="F152:I152" si="82">F22</f>
        <v>3.7742850289552874</v>
      </c>
      <c r="G152" s="444">
        <f t="shared" si="82"/>
        <v>24.668041218458757</v>
      </c>
      <c r="H152" s="444">
        <f t="shared" si="82"/>
        <v>2.5316118243974102</v>
      </c>
      <c r="I152" s="444">
        <f t="shared" si="82"/>
        <v>174.66344031104001</v>
      </c>
      <c r="J152" s="444">
        <f>SUM(E152:I152)</f>
        <v>226.73572370714851</v>
      </c>
    </row>
    <row r="153" spans="1:15">
      <c r="C153" t="str">
        <f>A4</f>
        <v>柴油车</v>
      </c>
      <c r="D153" s="535" t="s">
        <v>1101</v>
      </c>
      <c r="E153" s="444">
        <f>E33</f>
        <v>19.071069534440674</v>
      </c>
      <c r="F153" s="444">
        <f t="shared" ref="F153:I153" si="83">F33</f>
        <v>3.4116254674774091</v>
      </c>
      <c r="G153" s="444">
        <f t="shared" si="83"/>
        <v>21.212252324826945</v>
      </c>
      <c r="H153" s="444">
        <f t="shared" si="83"/>
        <v>2.1792493226103931</v>
      </c>
      <c r="I153" s="444">
        <f t="shared" si="83"/>
        <v>165.26168973971622</v>
      </c>
      <c r="J153" s="444">
        <f t="shared" ref="J153:J166" si="84">SUM(E153:I153)</f>
        <v>211.13588638907163</v>
      </c>
      <c r="K153" s="699">
        <f>1-J153/J152</f>
        <v>6.8801850290806432E-2</v>
      </c>
    </row>
    <row r="154" spans="1:15">
      <c r="D154" s="535"/>
      <c r="E154" s="444"/>
      <c r="F154" s="444"/>
      <c r="G154" s="444"/>
      <c r="H154" s="444"/>
      <c r="I154" s="444"/>
      <c r="J154" s="444"/>
    </row>
    <row r="155" spans="1:15">
      <c r="C155" t="str">
        <f>A5</f>
        <v>CNG车</v>
      </c>
      <c r="D155" s="535" t="s">
        <v>1102</v>
      </c>
      <c r="E155" s="466">
        <f>E44</f>
        <v>22.622324760971793</v>
      </c>
      <c r="F155" s="466">
        <f t="shared" ref="F155:I155" si="85">F44</f>
        <v>0.53183073249869395</v>
      </c>
      <c r="G155" s="466">
        <f t="shared" si="85"/>
        <v>18.838914710499296</v>
      </c>
      <c r="H155" s="466">
        <f t="shared" si="85"/>
        <v>0</v>
      </c>
      <c r="I155" s="466">
        <f t="shared" si="85"/>
        <v>149.842311696</v>
      </c>
      <c r="J155" s="444">
        <f t="shared" si="84"/>
        <v>191.83538189996978</v>
      </c>
      <c r="L155" s="699">
        <f>1-J155/$J$152</f>
        <v>0.1539252008309725</v>
      </c>
      <c r="N155" s="699">
        <f>1-J155/$J$153</f>
        <v>9.1412714433280917E-2</v>
      </c>
    </row>
    <row r="156" spans="1:15">
      <c r="C156" t="str">
        <f>A6</f>
        <v>LNG车</v>
      </c>
      <c r="D156" t="str">
        <f>A47</f>
        <v>进口LNG</v>
      </c>
      <c r="E156" s="466">
        <f>E55</f>
        <v>21.595077634271565</v>
      </c>
      <c r="F156" s="466">
        <f t="shared" ref="F156:I156" si="86">F55</f>
        <v>17.975573956746665</v>
      </c>
      <c r="G156" s="466">
        <f t="shared" si="86"/>
        <v>4.8268480232717632</v>
      </c>
      <c r="H156" s="466">
        <f t="shared" si="86"/>
        <v>1.2070005788692726</v>
      </c>
      <c r="I156" s="466">
        <f t="shared" si="86"/>
        <v>143.15146177820142</v>
      </c>
      <c r="J156" s="444">
        <f t="shared" si="84"/>
        <v>188.7559619713607</v>
      </c>
      <c r="K156" s="723">
        <f>H156+I156</f>
        <v>144.35846235707069</v>
      </c>
      <c r="L156" s="699">
        <f>1-J156/$J$152</f>
        <v>0.1675067391887588</v>
      </c>
      <c r="M156" s="699">
        <f>1-K156/$J$152</f>
        <v>0.3633184043661164</v>
      </c>
      <c r="N156" s="699">
        <f t="shared" ref="N156:O158" si="87">1-J156/$J$153</f>
        <v>0.10599772876350455</v>
      </c>
      <c r="O156" s="699">
        <f t="shared" si="87"/>
        <v>0.31627699664919362</v>
      </c>
    </row>
    <row r="157" spans="1:15">
      <c r="D157" t="str">
        <f>A58</f>
        <v>国产气田产LNG</v>
      </c>
      <c r="E157" s="466">
        <f>E66</f>
        <v>21.595077634271565</v>
      </c>
      <c r="F157" s="466">
        <f t="shared" ref="F157:I157" si="88">F66</f>
        <v>0</v>
      </c>
      <c r="G157" s="466">
        <f t="shared" si="88"/>
        <v>28.599876003380963</v>
      </c>
      <c r="H157" s="466">
        <f t="shared" si="88"/>
        <v>1.2070005788692726</v>
      </c>
      <c r="I157" s="466">
        <f t="shared" si="88"/>
        <v>143.15146177820142</v>
      </c>
      <c r="J157" s="444">
        <f t="shared" si="84"/>
        <v>194.55341599472322</v>
      </c>
      <c r="L157" s="699">
        <f t="shared" ref="L157:L166" si="89">1-J157/$J$152</f>
        <v>0.14193752614824784</v>
      </c>
      <c r="N157" s="699">
        <f t="shared" si="87"/>
        <v>7.8539326866447379E-2</v>
      </c>
    </row>
    <row r="158" spans="1:15">
      <c r="D158" t="str">
        <f>A69</f>
        <v>管输气产LNG</v>
      </c>
      <c r="E158" s="466">
        <f>E77</f>
        <v>21.595077634271565</v>
      </c>
      <c r="F158" s="466">
        <f t="shared" ref="F158:I158" si="90">F77</f>
        <v>2.5378751024372432</v>
      </c>
      <c r="G158" s="466">
        <f t="shared" si="90"/>
        <v>28.575391331758144</v>
      </c>
      <c r="H158" s="466">
        <f t="shared" si="90"/>
        <v>1.2070005788692726</v>
      </c>
      <c r="I158" s="466">
        <f t="shared" si="90"/>
        <v>143.15146177820142</v>
      </c>
      <c r="J158" s="444">
        <f t="shared" si="84"/>
        <v>197.06680642553766</v>
      </c>
      <c r="L158" s="699">
        <f t="shared" si="89"/>
        <v>0.13085241618092425</v>
      </c>
      <c r="N158" s="699">
        <f t="shared" si="87"/>
        <v>6.6635190275555978E-2</v>
      </c>
    </row>
    <row r="159" spans="1:15">
      <c r="D159"/>
      <c r="E159" s="466"/>
      <c r="F159" s="466"/>
      <c r="G159" s="466"/>
      <c r="H159" s="466"/>
      <c r="I159" s="466"/>
      <c r="J159" s="444"/>
      <c r="L159" s="699"/>
    </row>
    <row r="160" spans="1:15">
      <c r="C160" t="str">
        <f>A7</f>
        <v>乙醇车</v>
      </c>
      <c r="D160" t="str">
        <f>A80</f>
        <v>玉米燃料乙醇</v>
      </c>
      <c r="E160" s="466">
        <f>E88</f>
        <v>62.5776177443188</v>
      </c>
      <c r="F160" s="466">
        <f t="shared" ref="F160:I160" si="91">F88</f>
        <v>6.0007335996441276</v>
      </c>
      <c r="G160" s="466">
        <f t="shared" si="91"/>
        <v>147.23229676856985</v>
      </c>
      <c r="H160" s="466">
        <f t="shared" si="91"/>
        <v>3.4006630058081502</v>
      </c>
      <c r="I160" s="466">
        <f t="shared" si="91"/>
        <v>0</v>
      </c>
      <c r="J160" s="444">
        <f t="shared" si="84"/>
        <v>219.21131111834092</v>
      </c>
      <c r="L160" s="699">
        <f t="shared" si="89"/>
        <v>3.318582738433451E-2</v>
      </c>
    </row>
    <row r="161" spans="3:12">
      <c r="C161" t="str">
        <f>A8</f>
        <v>生物柴油车</v>
      </c>
      <c r="D161" t="str">
        <f>A91</f>
        <v>小桐子制取生物柴油</v>
      </c>
      <c r="E161" s="466">
        <f>E99</f>
        <v>26.88786370469969</v>
      </c>
      <c r="F161" s="466">
        <f t="shared" ref="F161:I161" si="92">F99</f>
        <v>8.8883433714890945</v>
      </c>
      <c r="G161" s="466">
        <f t="shared" si="92"/>
        <v>42.294665834966906</v>
      </c>
      <c r="H161" s="466">
        <f t="shared" si="92"/>
        <v>1.4089774021361878</v>
      </c>
      <c r="I161" s="466">
        <f t="shared" si="92"/>
        <v>0</v>
      </c>
      <c r="J161" s="444">
        <f t="shared" si="84"/>
        <v>79.479850313291877</v>
      </c>
      <c r="L161" s="699">
        <f t="shared" si="89"/>
        <v>0.64946039815080958</v>
      </c>
    </row>
    <row r="162" spans="3:12">
      <c r="D162"/>
      <c r="E162" s="466"/>
      <c r="F162" s="466"/>
      <c r="G162" s="466"/>
      <c r="H162" s="466"/>
      <c r="I162" s="466"/>
      <c r="J162" s="444"/>
      <c r="L162" s="699"/>
    </row>
    <row r="163" spans="3:12">
      <c r="C163" t="str">
        <f>A9</f>
        <v>纯电动车</v>
      </c>
      <c r="D163" t="str">
        <f>A103</f>
        <v>煤电分阶段</v>
      </c>
      <c r="E163" s="466">
        <f>E111</f>
        <v>41.909013959760365</v>
      </c>
      <c r="F163" s="466">
        <f t="shared" ref="F163:I163" si="93">F111</f>
        <v>2.824272520263897</v>
      </c>
      <c r="G163" s="466">
        <f t="shared" si="93"/>
        <v>206.71469560411191</v>
      </c>
      <c r="H163" s="466">
        <f t="shared" si="93"/>
        <v>0</v>
      </c>
      <c r="I163" s="466">
        <f t="shared" si="93"/>
        <v>0</v>
      </c>
      <c r="J163" s="444">
        <f t="shared" si="84"/>
        <v>251.44798208413619</v>
      </c>
      <c r="L163" s="699">
        <f t="shared" si="89"/>
        <v>-0.1089914635988547</v>
      </c>
    </row>
    <row r="164" spans="3:12">
      <c r="D164" t="str">
        <f>A115</f>
        <v>气电分阶段</v>
      </c>
      <c r="E164" s="466">
        <f>E123</f>
        <v>17.297440829746449</v>
      </c>
      <c r="F164" s="466">
        <f t="shared" ref="F164:I164" si="94">F123</f>
        <v>2.0328125307605864</v>
      </c>
      <c r="G164" s="466">
        <f t="shared" si="94"/>
        <v>114.66288668814381</v>
      </c>
      <c r="H164" s="466">
        <f t="shared" si="94"/>
        <v>0</v>
      </c>
      <c r="I164" s="466">
        <f t="shared" si="94"/>
        <v>0</v>
      </c>
      <c r="J164" s="444">
        <f t="shared" si="84"/>
        <v>133.99314004865084</v>
      </c>
      <c r="L164" s="699">
        <f t="shared" si="89"/>
        <v>0.40903383967091056</v>
      </c>
    </row>
    <row r="165" spans="3:12">
      <c r="D165" t="str">
        <f>A127</f>
        <v>油电分阶段</v>
      </c>
      <c r="E165" s="466">
        <f>E135</f>
        <v>22.573064923413664</v>
      </c>
      <c r="F165" s="466">
        <f t="shared" ref="F165:I165" si="95">F135</f>
        <v>3.9169548273988681</v>
      </c>
      <c r="G165" s="466">
        <f t="shared" si="95"/>
        <v>236.85381830565748</v>
      </c>
      <c r="H165" s="466">
        <f t="shared" si="95"/>
        <v>0</v>
      </c>
      <c r="I165" s="466">
        <f t="shared" si="95"/>
        <v>0</v>
      </c>
      <c r="J165" s="444">
        <f t="shared" si="84"/>
        <v>263.34383805647002</v>
      </c>
      <c r="L165" s="699">
        <f t="shared" si="89"/>
        <v>-0.16145719673448755</v>
      </c>
    </row>
    <row r="166" spans="3:12">
      <c r="D166" t="str">
        <f>A139</f>
        <v>网电分阶段</v>
      </c>
      <c r="E166" s="466">
        <f>E147</f>
        <v>33.361418857623725</v>
      </c>
      <c r="F166" s="466">
        <f t="shared" ref="F166:I166" si="96">F147</f>
        <v>2.346977163339885</v>
      </c>
      <c r="G166" s="466">
        <f t="shared" si="96"/>
        <v>170.64448011521247</v>
      </c>
      <c r="H166" s="466">
        <f t="shared" si="96"/>
        <v>0</v>
      </c>
      <c r="I166" s="466">
        <f t="shared" si="96"/>
        <v>0</v>
      </c>
      <c r="J166" s="444">
        <f t="shared" si="84"/>
        <v>206.35287613617609</v>
      </c>
      <c r="L166" s="699">
        <f t="shared" si="89"/>
        <v>8.9896939210597715E-2</v>
      </c>
    </row>
    <row r="167" spans="3:12">
      <c r="D167"/>
      <c r="E167"/>
    </row>
    <row r="168" spans="3:12">
      <c r="D168"/>
      <c r="E168"/>
    </row>
    <row r="169" spans="3:12">
      <c r="D169"/>
      <c r="E169"/>
    </row>
    <row r="170" spans="3:12">
      <c r="D170"/>
      <c r="E170"/>
    </row>
    <row r="171" spans="3:12">
      <c r="D171"/>
      <c r="E171"/>
    </row>
    <row r="172" spans="3:12">
      <c r="D172"/>
      <c r="E172"/>
    </row>
    <row r="173" spans="3:12">
      <c r="D173"/>
      <c r="E173"/>
    </row>
    <row r="174" spans="3:12">
      <c r="D174"/>
      <c r="E174"/>
    </row>
    <row r="175" spans="3:12">
      <c r="D175"/>
      <c r="E175"/>
    </row>
  </sheetData>
  <phoneticPr fontId="60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J25" sqref="J25"/>
    </sheetView>
  </sheetViews>
  <sheetFormatPr defaultRowHeight="13.5"/>
  <cols>
    <col min="5" max="5" width="16.25" customWidth="1"/>
  </cols>
  <sheetData>
    <row r="1" spans="1:14" ht="14.25" thickBot="1">
      <c r="A1" s="32" t="s">
        <v>123</v>
      </c>
      <c r="F1" t="s">
        <v>65</v>
      </c>
      <c r="H1" t="s">
        <v>85</v>
      </c>
      <c r="K1" s="146" t="s">
        <v>274</v>
      </c>
      <c r="L1" s="37"/>
      <c r="M1" s="37"/>
      <c r="N1" s="38"/>
    </row>
    <row r="2" spans="1:14">
      <c r="B2" s="52" t="s">
        <v>122</v>
      </c>
      <c r="C2" s="37"/>
      <c r="D2" s="37"/>
      <c r="E2" s="37"/>
      <c r="F2" s="37"/>
      <c r="G2" s="83"/>
      <c r="H2" s="38"/>
      <c r="K2" s="147" t="s">
        <v>275</v>
      </c>
      <c r="L2" s="239" t="s">
        <v>275</v>
      </c>
      <c r="M2" s="239" t="s">
        <v>275</v>
      </c>
      <c r="N2" s="148" t="s">
        <v>276</v>
      </c>
    </row>
    <row r="3" spans="1:14">
      <c r="B3" s="39"/>
      <c r="C3" s="35"/>
      <c r="D3" s="35"/>
      <c r="E3" s="35"/>
      <c r="F3" t="s">
        <v>65</v>
      </c>
      <c r="G3" s="84"/>
      <c r="H3" s="40"/>
      <c r="K3" s="147" t="s">
        <v>278</v>
      </c>
      <c r="L3" s="239" t="s">
        <v>279</v>
      </c>
      <c r="M3" s="239" t="s">
        <v>280</v>
      </c>
      <c r="N3" s="148" t="s">
        <v>277</v>
      </c>
    </row>
    <row r="4" spans="1:14">
      <c r="A4" s="32" t="s">
        <v>124</v>
      </c>
      <c r="B4" s="53" t="s">
        <v>88</v>
      </c>
      <c r="C4" s="35"/>
      <c r="D4" s="71">
        <f>6*1.15</f>
        <v>6.8999999999999995</v>
      </c>
      <c r="E4" s="35" t="s">
        <v>63</v>
      </c>
      <c r="F4" s="77">
        <f>D4*0.725*43.07/100</f>
        <v>2.1545767499999995</v>
      </c>
      <c r="G4" s="84" t="s">
        <v>66</v>
      </c>
      <c r="H4" s="80">
        <f>1/F4</f>
        <v>0.46412827948691093</v>
      </c>
      <c r="K4" s="240">
        <f>K9*0.8</f>
        <v>0.18400000000000002</v>
      </c>
      <c r="L4" s="77">
        <v>0</v>
      </c>
      <c r="M4" s="77">
        <f>M9*0.8</f>
        <v>4.8000000000000001E-2</v>
      </c>
      <c r="N4" s="80">
        <f>N9*0.8</f>
        <v>21.92</v>
      </c>
    </row>
    <row r="5" spans="1:14">
      <c r="A5" s="32" t="s">
        <v>124</v>
      </c>
      <c r="B5" s="39" t="s">
        <v>62</v>
      </c>
      <c r="C5" s="35" t="s">
        <v>80</v>
      </c>
      <c r="D5" s="71">
        <v>24</v>
      </c>
      <c r="E5" s="35" t="s">
        <v>64</v>
      </c>
      <c r="F5" s="77">
        <f>D5*3.6/100</f>
        <v>0.8640000000000001</v>
      </c>
      <c r="G5" s="84" t="s">
        <v>66</v>
      </c>
      <c r="H5" s="80">
        <f>1/F5</f>
        <v>1.1574074074074072</v>
      </c>
      <c r="I5" s="150">
        <f>H5/H4</f>
        <v>2.4937230902777769</v>
      </c>
      <c r="K5" s="240">
        <f>K4+K7</f>
        <v>0.19400000000000003</v>
      </c>
      <c r="L5" s="77">
        <f t="shared" ref="K5:M6" si="0">L4+L7</f>
        <v>7.4999999999999997E-3</v>
      </c>
      <c r="M5" s="77">
        <f t="shared" si="0"/>
        <v>5.1750000000000004E-2</v>
      </c>
      <c r="N5" s="80">
        <f>N4+N7</f>
        <v>26.92</v>
      </c>
    </row>
    <row r="6" spans="1:14" ht="14.25" thickBot="1">
      <c r="B6" s="41"/>
      <c r="C6" s="42" t="s">
        <v>81</v>
      </c>
      <c r="D6" s="72">
        <v>15</v>
      </c>
      <c r="E6" s="42" t="s">
        <v>64</v>
      </c>
      <c r="F6" s="78">
        <f>D6*3.6/100</f>
        <v>0.54</v>
      </c>
      <c r="G6" s="85" t="s">
        <v>66</v>
      </c>
      <c r="H6" s="81">
        <f>1/F6</f>
        <v>1.8518518518518516</v>
      </c>
      <c r="I6" s="150">
        <f>H6/H4</f>
        <v>3.9899569444444429</v>
      </c>
      <c r="K6" s="240">
        <f t="shared" si="0"/>
        <v>0.19400000000000003</v>
      </c>
      <c r="L6" s="77">
        <f t="shared" si="0"/>
        <v>7.4999999999999997E-3</v>
      </c>
      <c r="M6" s="77">
        <f t="shared" si="0"/>
        <v>5.1750000000000004E-2</v>
      </c>
      <c r="N6" s="80">
        <f>N5+N7</f>
        <v>31.92</v>
      </c>
    </row>
    <row r="7" spans="1:14" ht="14.25" thickBot="1">
      <c r="D7" s="73"/>
      <c r="F7" s="20"/>
      <c r="H7" s="20"/>
      <c r="I7" s="138" t="s">
        <v>273</v>
      </c>
      <c r="J7" t="s">
        <v>356</v>
      </c>
      <c r="K7" s="240">
        <v>0.01</v>
      </c>
      <c r="L7" s="77">
        <v>7.4999999999999997E-3</v>
      </c>
      <c r="M7" s="77">
        <v>3.7499999999999999E-3</v>
      </c>
      <c r="N7" s="80">
        <v>5</v>
      </c>
    </row>
    <row r="8" spans="1:14">
      <c r="B8" s="52" t="s">
        <v>125</v>
      </c>
      <c r="C8" s="37"/>
      <c r="D8" s="74"/>
      <c r="E8" s="37"/>
      <c r="F8" s="79"/>
      <c r="G8" s="83"/>
      <c r="H8" s="82"/>
      <c r="K8" s="240"/>
      <c r="L8" s="77"/>
      <c r="M8" s="77"/>
      <c r="N8" s="80"/>
    </row>
    <row r="9" spans="1:14">
      <c r="B9" s="39" t="str">
        <f>B4</f>
        <v>gasoline vehicle</v>
      </c>
      <c r="C9" s="35"/>
      <c r="D9" s="71">
        <f>8*1.15</f>
        <v>9.1999999999999993</v>
      </c>
      <c r="E9" s="35" t="s">
        <v>63</v>
      </c>
      <c r="F9" s="77">
        <f>D9*0.725*43.07/100</f>
        <v>2.8727689999999995</v>
      </c>
      <c r="G9" s="84" t="s">
        <v>66</v>
      </c>
      <c r="H9" s="80">
        <f>1/F9</f>
        <v>0.34809620961518317</v>
      </c>
      <c r="K9" s="240">
        <v>0.23</v>
      </c>
      <c r="L9" s="77">
        <v>0</v>
      </c>
      <c r="M9" s="77">
        <v>0.06</v>
      </c>
      <c r="N9" s="80">
        <v>27.4</v>
      </c>
    </row>
    <row r="10" spans="1:14">
      <c r="B10" s="242" t="s">
        <v>62</v>
      </c>
      <c r="C10" s="243" t="s">
        <v>80</v>
      </c>
      <c r="D10" s="71">
        <v>32</v>
      </c>
      <c r="E10" s="243" t="s">
        <v>64</v>
      </c>
      <c r="F10" s="244">
        <f>D10*3.6/100</f>
        <v>1.1520000000000001</v>
      </c>
      <c r="G10" s="245" t="s">
        <v>66</v>
      </c>
      <c r="H10" s="246">
        <f>1/F10</f>
        <v>0.86805555555555547</v>
      </c>
      <c r="I10" s="247">
        <f>H10/H9</f>
        <v>2.4937230902777774</v>
      </c>
      <c r="J10" s="44"/>
      <c r="K10" s="248">
        <f>K9+K12</f>
        <v>0.25</v>
      </c>
      <c r="L10" s="248">
        <f>L9+L12</f>
        <v>1.4999999999999999E-2</v>
      </c>
      <c r="M10" s="248">
        <f>M9+M12</f>
        <v>6.7500000000000004E-2</v>
      </c>
      <c r="N10" s="248">
        <f>N9+N12</f>
        <v>37.4</v>
      </c>
    </row>
    <row r="11" spans="1:14" ht="14.25" thickBot="1">
      <c r="B11" s="249"/>
      <c r="C11" s="250" t="s">
        <v>81</v>
      </c>
      <c r="D11" s="72">
        <v>20</v>
      </c>
      <c r="E11" s="250" t="s">
        <v>64</v>
      </c>
      <c r="F11" s="251">
        <f>D11*3.6/100</f>
        <v>0.72</v>
      </c>
      <c r="G11" s="252" t="s">
        <v>66</v>
      </c>
      <c r="H11" s="253">
        <f>1/F11</f>
        <v>1.3888888888888888</v>
      </c>
      <c r="I11" s="247">
        <f>H11/H9</f>
        <v>3.9899569444444438</v>
      </c>
      <c r="J11" s="44"/>
      <c r="K11" s="248">
        <f>K10+K12</f>
        <v>0.27</v>
      </c>
      <c r="L11" s="248">
        <f>L10+L12</f>
        <v>0.03</v>
      </c>
      <c r="M11" s="248">
        <f>M10+M12</f>
        <v>7.5000000000000011E-2</v>
      </c>
      <c r="N11" s="248">
        <f>N10+N12</f>
        <v>47.4</v>
      </c>
    </row>
    <row r="12" spans="1:14">
      <c r="B12" s="242"/>
      <c r="C12" s="243"/>
      <c r="D12" s="71"/>
      <c r="E12" s="243"/>
      <c r="F12" s="244"/>
      <c r="G12" s="245"/>
      <c r="H12" s="246"/>
      <c r="I12" s="138" t="s">
        <v>273</v>
      </c>
      <c r="J12" t="s">
        <v>357</v>
      </c>
      <c r="K12" s="240">
        <v>0.02</v>
      </c>
      <c r="L12" s="77">
        <v>1.4999999999999999E-2</v>
      </c>
      <c r="M12" s="77">
        <v>7.4999999999999997E-3</v>
      </c>
      <c r="N12" s="80">
        <v>10</v>
      </c>
    </row>
    <row r="13" spans="1:14">
      <c r="A13" s="32" t="s">
        <v>124</v>
      </c>
      <c r="B13" s="53" t="s">
        <v>126</v>
      </c>
      <c r="C13" s="35"/>
      <c r="D13" s="71">
        <f>D9*0.74*0.85/0.84</f>
        <v>6.8890476190476191</v>
      </c>
      <c r="E13" s="35" t="s">
        <v>63</v>
      </c>
      <c r="F13" s="77">
        <f>D13*0.84*43.07/100</f>
        <v>2.4923747599999997</v>
      </c>
      <c r="G13" s="84" t="s">
        <v>66</v>
      </c>
      <c r="H13" s="80">
        <f>1/F13</f>
        <v>0.40122377101909029</v>
      </c>
      <c r="I13" s="150">
        <f>H13/H9</f>
        <v>1.1526232114467407</v>
      </c>
      <c r="K13" s="240">
        <v>0.23</v>
      </c>
      <c r="L13" s="77">
        <v>0</v>
      </c>
      <c r="M13" s="77">
        <v>0.06</v>
      </c>
      <c r="N13" s="80">
        <v>27.4</v>
      </c>
    </row>
    <row r="14" spans="1:14">
      <c r="B14" s="53" t="s">
        <v>127</v>
      </c>
      <c r="C14" s="35"/>
      <c r="D14" s="75">
        <f>D13</f>
        <v>6.8890476190476191</v>
      </c>
      <c r="E14" s="35" t="s">
        <v>63</v>
      </c>
      <c r="F14" s="77">
        <f>D14*0.84*43.07/100</f>
        <v>2.4923747599999997</v>
      </c>
      <c r="G14" s="84" t="s">
        <v>66</v>
      </c>
      <c r="H14" s="80">
        <f>1/F14</f>
        <v>0.40122377101909029</v>
      </c>
      <c r="K14" s="240">
        <v>0.23</v>
      </c>
      <c r="L14" s="77">
        <v>0</v>
      </c>
      <c r="M14" s="77">
        <v>0.06</v>
      </c>
      <c r="N14" s="80">
        <v>27.4</v>
      </c>
    </row>
    <row r="15" spans="1:14">
      <c r="B15" s="53"/>
      <c r="C15" s="35"/>
      <c r="D15" s="75"/>
      <c r="E15" s="35"/>
      <c r="F15" s="77"/>
      <c r="G15" s="84"/>
      <c r="H15" s="80"/>
      <c r="K15" s="240"/>
      <c r="L15" s="77"/>
      <c r="M15" s="77"/>
      <c r="N15" s="80"/>
    </row>
    <row r="16" spans="1:14">
      <c r="B16" s="53" t="s">
        <v>89</v>
      </c>
      <c r="C16" s="35"/>
      <c r="D16" s="75">
        <v>7.35</v>
      </c>
      <c r="E16" s="54" t="s">
        <v>90</v>
      </c>
      <c r="F16" s="77">
        <f>D16*38.9/100</f>
        <v>2.8591499999999996</v>
      </c>
      <c r="G16" s="84" t="s">
        <v>66</v>
      </c>
      <c r="H16" s="80">
        <f>1/F16</f>
        <v>0.34975429760593185</v>
      </c>
      <c r="K16" s="240">
        <v>0.23</v>
      </c>
      <c r="L16" s="77">
        <v>0</v>
      </c>
      <c r="M16" s="77">
        <v>0.06</v>
      </c>
      <c r="N16" s="80">
        <v>27.4</v>
      </c>
    </row>
    <row r="17" spans="2:14" ht="14.25" thickBot="1">
      <c r="B17" s="55" t="s">
        <v>133</v>
      </c>
      <c r="C17" s="42"/>
      <c r="D17" s="76">
        <f>D16</f>
        <v>7.35</v>
      </c>
      <c r="E17" s="56" t="s">
        <v>90</v>
      </c>
      <c r="F17" s="78">
        <f>D17*38.9/100</f>
        <v>2.8591499999999996</v>
      </c>
      <c r="G17" s="85" t="s">
        <v>66</v>
      </c>
      <c r="H17" s="81">
        <f>1/F17</f>
        <v>0.34975429760593185</v>
      </c>
      <c r="K17" s="241">
        <v>0.23</v>
      </c>
      <c r="L17" s="78">
        <v>0</v>
      </c>
      <c r="M17" s="78">
        <v>0.06</v>
      </c>
      <c r="N17" s="81">
        <v>27.4</v>
      </c>
    </row>
  </sheetData>
  <phoneticPr fontId="9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>
  <dimension ref="A1:Q53"/>
  <sheetViews>
    <sheetView topLeftCell="A23" workbookViewId="0">
      <pane xSplit="1" topLeftCell="B1" activePane="topRight" state="frozen"/>
      <selection activeCell="J25" sqref="J25"/>
      <selection pane="topRight" activeCell="J25" sqref="J25"/>
    </sheetView>
  </sheetViews>
  <sheetFormatPr defaultRowHeight="13.5"/>
  <cols>
    <col min="1" max="3" width="11.875" customWidth="1"/>
    <col min="4" max="5" width="14.5" style="58" customWidth="1"/>
    <col min="6" max="8" width="14.5" style="61" customWidth="1"/>
    <col min="14" max="14" width="11.375" customWidth="1"/>
  </cols>
  <sheetData>
    <row r="1" spans="1:17" ht="14.25" thickBot="1">
      <c r="B1" s="62"/>
      <c r="C1" s="62"/>
      <c r="E1" s="223"/>
      <c r="F1" s="224"/>
      <c r="G1" s="224"/>
      <c r="H1" s="224"/>
      <c r="J1" s="37"/>
      <c r="K1" s="37"/>
      <c r="L1" s="38"/>
    </row>
    <row r="2" spans="1:17" ht="14.25" thickBot="1">
      <c r="A2" s="52" t="s">
        <v>134</v>
      </c>
      <c r="B2" s="62"/>
      <c r="C2" s="62"/>
      <c r="D2" s="223" t="s">
        <v>135</v>
      </c>
      <c r="E2" s="223"/>
      <c r="F2" s="224"/>
      <c r="G2" s="224"/>
      <c r="H2" s="224"/>
      <c r="I2" s="62" t="s">
        <v>117</v>
      </c>
      <c r="J2" s="37"/>
      <c r="K2" s="37"/>
      <c r="L2" s="38"/>
      <c r="N2" s="233" t="s">
        <v>116</v>
      </c>
    </row>
    <row r="3" spans="1:17" ht="51.75" thickBot="1">
      <c r="A3" s="39"/>
      <c r="B3" s="35"/>
      <c r="C3" s="22"/>
      <c r="D3" s="94"/>
      <c r="E3" s="94"/>
      <c r="F3" s="97"/>
      <c r="G3" s="97"/>
      <c r="H3" s="97"/>
      <c r="I3" s="1" t="s">
        <v>113</v>
      </c>
      <c r="J3" s="2" t="s">
        <v>114</v>
      </c>
      <c r="K3" s="2" t="s">
        <v>115</v>
      </c>
      <c r="L3" s="225" t="s">
        <v>120</v>
      </c>
      <c r="M3" s="30"/>
      <c r="N3" s="234" t="s">
        <v>166</v>
      </c>
      <c r="P3" s="201" t="s">
        <v>337</v>
      </c>
    </row>
    <row r="4" spans="1:17" ht="14.25" thickBot="1">
      <c r="A4" s="39"/>
      <c r="B4" s="35"/>
      <c r="C4" s="22"/>
      <c r="D4" s="94"/>
      <c r="E4" s="94"/>
      <c r="F4" s="97"/>
      <c r="G4" s="97"/>
      <c r="H4" s="97"/>
      <c r="I4" s="30" t="s">
        <v>137</v>
      </c>
      <c r="J4" s="30" t="s">
        <v>138</v>
      </c>
      <c r="K4" s="30" t="s">
        <v>138</v>
      </c>
      <c r="L4" s="225" t="s">
        <v>138</v>
      </c>
      <c r="M4" s="30"/>
      <c r="N4" s="235" t="s">
        <v>139</v>
      </c>
    </row>
    <row r="5" spans="1:17">
      <c r="A5" s="39"/>
      <c r="B5" s="35"/>
      <c r="C5" s="22"/>
      <c r="D5" s="94"/>
      <c r="E5" s="94"/>
      <c r="F5" s="97"/>
      <c r="G5" s="96" t="s">
        <v>140</v>
      </c>
      <c r="H5" s="97"/>
      <c r="I5" s="30"/>
      <c r="J5" s="30"/>
      <c r="K5" s="30"/>
      <c r="L5" s="225"/>
      <c r="M5" s="30"/>
      <c r="N5" s="234"/>
      <c r="O5" s="37"/>
      <c r="P5" s="202" t="s">
        <v>338</v>
      </c>
      <c r="Q5" s="203" t="s">
        <v>339</v>
      </c>
    </row>
    <row r="6" spans="1:17">
      <c r="A6" s="226" t="s">
        <v>6</v>
      </c>
      <c r="B6" s="22"/>
      <c r="C6" s="22" t="str">
        <f>Vehicle!B4</f>
        <v>gasoline vehicle</v>
      </c>
      <c r="D6" s="30"/>
      <c r="E6" s="30">
        <f>Vehicle!D4</f>
        <v>6.8999999999999995</v>
      </c>
      <c r="F6" s="227" t="str">
        <f>Vehicle!E4</f>
        <v>liter/100km</v>
      </c>
      <c r="G6" s="96">
        <f>Vehicle!F4</f>
        <v>2.1545767499999995</v>
      </c>
      <c r="H6" s="227"/>
      <c r="I6" s="77">
        <f>G6*WTPs!B5</f>
        <v>0.15999896730227761</v>
      </c>
      <c r="J6" s="77">
        <f>G6*WTPs!C5</f>
        <v>0.10810857426637582</v>
      </c>
      <c r="K6" s="77">
        <f>WTPs!D5*'WTW-micro EV'!G6</f>
        <v>2.4856301760544546</v>
      </c>
      <c r="L6" s="80">
        <f>SUM(I6:K6)</f>
        <v>2.7537377176231081</v>
      </c>
      <c r="M6" s="20"/>
      <c r="N6" s="236">
        <f>G6*WTPs!G5</f>
        <v>196.06954655723766</v>
      </c>
      <c r="O6" s="35"/>
      <c r="P6" s="35"/>
      <c r="Q6" s="40"/>
    </row>
    <row r="7" spans="1:17">
      <c r="A7" s="226"/>
      <c r="B7" s="22"/>
      <c r="C7" s="22"/>
      <c r="D7" s="30"/>
      <c r="E7" s="30"/>
      <c r="F7" s="227"/>
      <c r="G7" s="227"/>
      <c r="H7" s="227"/>
      <c r="I7" s="77"/>
      <c r="J7" s="77"/>
      <c r="K7" s="77"/>
      <c r="L7" s="80"/>
      <c r="M7" s="20"/>
      <c r="N7" s="236"/>
      <c r="O7" s="35"/>
      <c r="P7" s="35"/>
      <c r="Q7" s="40"/>
    </row>
    <row r="8" spans="1:17">
      <c r="A8" s="53" t="s">
        <v>304</v>
      </c>
      <c r="B8" s="22"/>
      <c r="C8" s="22" t="s">
        <v>328</v>
      </c>
      <c r="D8" s="30" t="str">
        <f>D19</f>
        <v>worst</v>
      </c>
      <c r="E8" s="30">
        <f>E19</f>
        <v>24</v>
      </c>
      <c r="F8" s="30" t="str">
        <f>F19</f>
        <v>kWh/100km</v>
      </c>
      <c r="G8" s="30">
        <f>G19</f>
        <v>0.8640000000000001</v>
      </c>
      <c r="H8" s="227"/>
      <c r="I8" s="77">
        <f>G8*WTPs!B15</f>
        <v>2.0799270486068822</v>
      </c>
      <c r="J8" s="77">
        <f>G8*WTPs!C15</f>
        <v>0.16172213082211406</v>
      </c>
      <c r="K8" s="77">
        <f>WTPs!D15*'WTW-micro EV'!G8</f>
        <v>5.8798971016474987E-2</v>
      </c>
      <c r="L8" s="80">
        <f>SUM(I8:K8)</f>
        <v>2.3004481504454715</v>
      </c>
      <c r="M8" s="20"/>
      <c r="N8" s="236">
        <f>G8*WTPs!G15</f>
        <v>204.8226097575803</v>
      </c>
      <c r="O8" s="35"/>
      <c r="P8" s="64">
        <f>1-L8/$L$6</f>
        <v>0.16460883848041052</v>
      </c>
      <c r="Q8" s="65">
        <f>1-N8/$N$6</f>
        <v>-4.4642645194201025E-2</v>
      </c>
    </row>
    <row r="9" spans="1:17">
      <c r="A9" s="53" t="s">
        <v>305</v>
      </c>
      <c r="B9" s="22"/>
      <c r="C9" s="22" t="s">
        <v>328</v>
      </c>
      <c r="D9" s="30" t="str">
        <f t="shared" ref="D9:G10" si="0">D8</f>
        <v>worst</v>
      </c>
      <c r="E9" s="30">
        <f t="shared" si="0"/>
        <v>24</v>
      </c>
      <c r="F9" s="30" t="str">
        <f t="shared" si="0"/>
        <v>kWh/100km</v>
      </c>
      <c r="G9" s="30">
        <f t="shared" si="0"/>
        <v>0.8640000000000001</v>
      </c>
      <c r="H9" s="227"/>
      <c r="I9" s="77">
        <f>G9*WTPs!B16</f>
        <v>2.6589708362418873</v>
      </c>
      <c r="J9" s="77">
        <f>G9*WTPs!C16</f>
        <v>6.4899385756018698E-3</v>
      </c>
      <c r="K9" s="77">
        <f>WTPs!D16*'WTW-micro EV'!G9</f>
        <v>3.5996230743235068E-2</v>
      </c>
      <c r="L9" s="80">
        <f>SUM(I9:K9)</f>
        <v>2.7014570055607243</v>
      </c>
      <c r="M9" s="20"/>
      <c r="N9" s="236">
        <f>G9*WTPs!G16</f>
        <v>247.2313911264776</v>
      </c>
      <c r="O9" s="35"/>
      <c r="P9" s="64">
        <f>1-L9/$L$6</f>
        <v>1.8985363685075307E-2</v>
      </c>
      <c r="Q9" s="65">
        <f>1-N9/$N$6</f>
        <v>-0.2609372310365623</v>
      </c>
    </row>
    <row r="10" spans="1:17">
      <c r="A10" s="53" t="s">
        <v>306</v>
      </c>
      <c r="B10" s="22"/>
      <c r="C10" s="22" t="s">
        <v>328</v>
      </c>
      <c r="D10" s="30" t="str">
        <f t="shared" si="0"/>
        <v>worst</v>
      </c>
      <c r="E10" s="30">
        <f t="shared" si="0"/>
        <v>24</v>
      </c>
      <c r="F10" s="30" t="str">
        <f t="shared" si="0"/>
        <v>kWh/100km</v>
      </c>
      <c r="G10" s="30">
        <f t="shared" si="0"/>
        <v>0.8640000000000001</v>
      </c>
      <c r="H10" s="227"/>
      <c r="I10" s="77">
        <f>G10*WTPs!B17</f>
        <v>1.76584950567064</v>
      </c>
      <c r="J10" s="77">
        <f>G10*WTPs!C17</f>
        <v>4.5205510960624655E-3</v>
      </c>
      <c r="K10" s="77">
        <f>WTPs!D17*'WTW-micro EV'!G10</f>
        <v>2.4134251003166119E-2</v>
      </c>
      <c r="L10" s="80">
        <f>SUM(I10:K10)</f>
        <v>1.7945043077698686</v>
      </c>
      <c r="M10" s="20"/>
      <c r="N10" s="236">
        <f>G10*WTPs!G17</f>
        <v>165.49949819613309</v>
      </c>
      <c r="O10" s="35"/>
      <c r="P10" s="64">
        <f>1-L10/$L$6</f>
        <v>0.34833869751444702</v>
      </c>
      <c r="Q10" s="65">
        <f>1-N10/$N$6</f>
        <v>0.15591431151793067</v>
      </c>
    </row>
    <row r="11" spans="1:17">
      <c r="A11" s="53"/>
      <c r="B11" s="22"/>
      <c r="C11" s="22"/>
      <c r="D11" s="30"/>
      <c r="E11" s="30"/>
      <c r="F11" s="30"/>
      <c r="G11" s="30"/>
      <c r="H11" s="227"/>
      <c r="I11" s="77"/>
      <c r="J11" s="77"/>
      <c r="K11" s="77"/>
      <c r="L11" s="80"/>
      <c r="M11" s="20"/>
      <c r="N11" s="236"/>
      <c r="O11" s="35"/>
      <c r="P11" s="35"/>
      <c r="Q11" s="40"/>
    </row>
    <row r="12" spans="1:17">
      <c r="A12" s="147" t="s">
        <v>324</v>
      </c>
      <c r="B12" s="22"/>
      <c r="C12" s="22" t="s">
        <v>328</v>
      </c>
      <c r="D12" s="30" t="str">
        <f>D10</f>
        <v>worst</v>
      </c>
      <c r="E12" s="30">
        <f>E10</f>
        <v>24</v>
      </c>
      <c r="F12" s="30" t="str">
        <f>F10</f>
        <v>kWh/100km</v>
      </c>
      <c r="G12" s="30">
        <f>G10</f>
        <v>0.8640000000000001</v>
      </c>
      <c r="H12" s="227"/>
      <c r="I12" s="77">
        <f>G12*WTPs!B19</f>
        <v>0.15219199461624575</v>
      </c>
      <c r="J12" s="77">
        <f>G12*WTPs!C19</f>
        <v>1.1941249574541058E-3</v>
      </c>
      <c r="K12" s="77">
        <f>WTPs!D19*'WTW-micro EV'!G12</f>
        <v>2.0123937108432178E-2</v>
      </c>
      <c r="L12" s="80">
        <f>SUM(I12:K12)</f>
        <v>0.17351005668213204</v>
      </c>
      <c r="M12" s="20"/>
      <c r="N12" s="236">
        <f>G12*WTPs!G19</f>
        <v>17.752620504597541</v>
      </c>
      <c r="O12" s="35"/>
      <c r="P12" s="64">
        <f>1-L12/$L$6</f>
        <v>0.93699107377884283</v>
      </c>
      <c r="Q12" s="65">
        <f>1-N12/$N$6</f>
        <v>0.90945753271574425</v>
      </c>
    </row>
    <row r="13" spans="1:17">
      <c r="A13" s="147" t="s">
        <v>325</v>
      </c>
      <c r="B13" s="22"/>
      <c r="C13" s="22" t="s">
        <v>328</v>
      </c>
      <c r="D13" s="30" t="str">
        <f t="shared" ref="D13:G14" si="1">D12</f>
        <v>worst</v>
      </c>
      <c r="E13" s="30">
        <f t="shared" si="1"/>
        <v>24</v>
      </c>
      <c r="F13" s="30" t="str">
        <f t="shared" si="1"/>
        <v>kWh/100km</v>
      </c>
      <c r="G13" s="30">
        <f t="shared" si="1"/>
        <v>0.8640000000000001</v>
      </c>
      <c r="H13" s="227"/>
      <c r="I13" s="77">
        <f>G13*WTPs!B20</f>
        <v>0.23977325805629468</v>
      </c>
      <c r="J13" s="77">
        <f>G13*WTPs!C20</f>
        <v>1.8813028392003345E-3</v>
      </c>
      <c r="K13" s="77">
        <f>WTPs!D20*'WTW-micro EV'!G13</f>
        <v>3.1704571436727121E-2</v>
      </c>
      <c r="L13" s="80">
        <f>SUM(I13:K13)</f>
        <v>0.27335913233222214</v>
      </c>
      <c r="M13" s="20"/>
      <c r="N13" s="236">
        <f>G13*WTPs!G20</f>
        <v>27.968643608078214</v>
      </c>
      <c r="O13" s="35"/>
      <c r="P13" s="64">
        <f>1-L13/$L$6</f>
        <v>0.90073160178516476</v>
      </c>
      <c r="Q13" s="65">
        <f>1-N13/$N$6</f>
        <v>0.85735345391889572</v>
      </c>
    </row>
    <row r="14" spans="1:17">
      <c r="A14" s="147" t="s">
        <v>326</v>
      </c>
      <c r="B14" s="22"/>
      <c r="C14" s="22" t="s">
        <v>328</v>
      </c>
      <c r="D14" s="30" t="str">
        <f t="shared" si="1"/>
        <v>worst</v>
      </c>
      <c r="E14" s="30">
        <f t="shared" si="1"/>
        <v>24</v>
      </c>
      <c r="F14" s="30" t="str">
        <f t="shared" si="1"/>
        <v>kWh/100km</v>
      </c>
      <c r="G14" s="30">
        <f t="shared" si="1"/>
        <v>0.8640000000000001</v>
      </c>
      <c r="H14" s="227"/>
      <c r="I14" s="77">
        <f>G14*WTPs!B21</f>
        <v>0.44280270761908536</v>
      </c>
      <c r="J14" s="77">
        <f>G14*WTPs!C21</f>
        <v>3.4743073427053982E-3</v>
      </c>
      <c r="K14" s="77">
        <f>WTPs!D21*'WTW-micro EV'!G14</f>
        <v>5.855060814492246E-2</v>
      </c>
      <c r="L14" s="80">
        <f>SUM(I14:K14)</f>
        <v>0.50482762310671314</v>
      </c>
      <c r="M14" s="20"/>
      <c r="N14" s="236">
        <f>G14*WTPs!G21</f>
        <v>51.651260939126765</v>
      </c>
      <c r="O14" s="35"/>
      <c r="P14" s="64">
        <f>1-L14/$L$6</f>
        <v>0.8166754880553927</v>
      </c>
      <c r="Q14" s="65">
        <f>1-N14/$N$6</f>
        <v>0.73656663237068054</v>
      </c>
    </row>
    <row r="15" spans="1:17">
      <c r="A15" s="53"/>
      <c r="B15" s="22"/>
      <c r="C15" s="22"/>
      <c r="D15" s="30"/>
      <c r="E15" s="30"/>
      <c r="F15" s="30"/>
      <c r="G15" s="30"/>
      <c r="H15" s="227"/>
      <c r="I15" s="77"/>
      <c r="J15" s="77"/>
      <c r="K15" s="77"/>
      <c r="L15" s="80"/>
      <c r="M15" s="20"/>
      <c r="N15" s="236"/>
      <c r="O15" s="35"/>
      <c r="P15" s="35"/>
      <c r="Q15" s="40"/>
    </row>
    <row r="16" spans="1:17">
      <c r="A16" s="53" t="s">
        <v>302</v>
      </c>
      <c r="B16" s="22"/>
      <c r="C16" s="22" t="str">
        <f>C17</f>
        <v>BEV</v>
      </c>
      <c r="D16" s="30" t="str">
        <f>D14</f>
        <v>worst</v>
      </c>
      <c r="E16" s="30">
        <f>E14</f>
        <v>24</v>
      </c>
      <c r="F16" s="30" t="str">
        <f>F14</f>
        <v>kWh/100km</v>
      </c>
      <c r="G16" s="30">
        <f>G14</f>
        <v>0.8640000000000001</v>
      </c>
      <c r="H16" s="227"/>
      <c r="I16" s="77">
        <f>G16*WTPs!B23</f>
        <v>2.7594299294887237</v>
      </c>
      <c r="J16" s="77">
        <f>G16*WTPs!C23</f>
        <v>7.0194729938147489E-3</v>
      </c>
      <c r="K16" s="77">
        <f>WTPs!D23*'WTW-micro EV'!G16</f>
        <v>3.7944009958184421E-2</v>
      </c>
      <c r="L16" s="80">
        <f>SUM(I16:K16)</f>
        <v>2.804393412440723</v>
      </c>
      <c r="M16" s="20"/>
      <c r="N16" s="236">
        <f>G16*WTPs!G23</f>
        <v>254.29350345769916</v>
      </c>
      <c r="O16" s="35"/>
      <c r="P16" s="64">
        <f>1-L16/$L$6</f>
        <v>-1.839525038765788E-2</v>
      </c>
      <c r="Q16" s="65">
        <f>1-N16/$N$6</f>
        <v>-0.29695563601185992</v>
      </c>
    </row>
    <row r="17" spans="1:17">
      <c r="A17" s="53" t="s">
        <v>303</v>
      </c>
      <c r="B17" s="22"/>
      <c r="C17" s="22" t="str">
        <f>C19</f>
        <v>BEV</v>
      </c>
      <c r="D17" s="30" t="str">
        <f>D16</f>
        <v>worst</v>
      </c>
      <c r="E17" s="30">
        <f>E16</f>
        <v>24</v>
      </c>
      <c r="F17" s="30" t="str">
        <f>F16</f>
        <v>kWh/100km</v>
      </c>
      <c r="G17" s="30">
        <f>G16</f>
        <v>0.8640000000000001</v>
      </c>
      <c r="H17" s="227"/>
      <c r="I17" s="77">
        <f>G17*WTPs!B24</f>
        <v>3.7754228488618722</v>
      </c>
      <c r="J17" s="77">
        <f>G17*WTPs!C24</f>
        <v>1.0833679713867311E-2</v>
      </c>
      <c r="K17" s="77">
        <f>WTPs!D24*'WTW-micro EV'!G17</f>
        <v>5.2151985265549761E-2</v>
      </c>
      <c r="L17" s="80">
        <f>SUM(I17:K17)</f>
        <v>3.8384085138412893</v>
      </c>
      <c r="M17" s="20"/>
      <c r="N17" s="236">
        <f>G17*WTPs!G24</f>
        <v>88.90083621748235</v>
      </c>
      <c r="O17" s="35"/>
      <c r="P17" s="64">
        <f>1-L17/$L$6</f>
        <v>-0.39389038007382049</v>
      </c>
      <c r="Q17" s="65">
        <f>1-N17/$N$6</f>
        <v>0.54658518990591975</v>
      </c>
    </row>
    <row r="18" spans="1:17">
      <c r="A18" s="226"/>
      <c r="B18" s="22"/>
      <c r="C18" s="22"/>
      <c r="D18" s="30"/>
      <c r="E18" s="30"/>
      <c r="F18" s="227"/>
      <c r="G18" s="227"/>
      <c r="H18" s="227"/>
      <c r="I18" s="77"/>
      <c r="J18" s="77"/>
      <c r="K18" s="77"/>
      <c r="L18" s="80"/>
      <c r="M18" s="20"/>
      <c r="N18" s="236"/>
      <c r="O18" s="35"/>
      <c r="P18" s="35"/>
      <c r="Q18" s="40"/>
    </row>
    <row r="19" spans="1:17">
      <c r="A19" s="53" t="s">
        <v>104</v>
      </c>
      <c r="B19" s="54"/>
      <c r="C19" s="54" t="str">
        <f>Vehicle!B5</f>
        <v>BEV</v>
      </c>
      <c r="D19" s="228" t="s">
        <v>329</v>
      </c>
      <c r="E19" s="95">
        <f>Vehicle!D5</f>
        <v>24</v>
      </c>
      <c r="F19" s="96" t="str">
        <f>Vehicle!E5</f>
        <v>kWh/100km</v>
      </c>
      <c r="G19" s="96">
        <f>Vehicle!F5</f>
        <v>0.8640000000000001</v>
      </c>
      <c r="H19" s="96"/>
      <c r="I19" s="77">
        <f>G19*WTPs!B26</f>
        <v>2.1845486941785732</v>
      </c>
      <c r="J19" s="77">
        <f>G19*WTPs!C26</f>
        <v>5.5570827867700099E-3</v>
      </c>
      <c r="K19" s="77">
        <f>WTPs!D26*'WTW-micro EV'!G19</f>
        <v>3.0039007883562664E-2</v>
      </c>
      <c r="L19" s="80">
        <f>SUM(I19:K19)</f>
        <v>2.2201447848489058</v>
      </c>
      <c r="M19" s="20"/>
      <c r="N19" s="236">
        <f>G19*WTPs!G26</f>
        <v>201.31569023734519</v>
      </c>
      <c r="O19" s="35"/>
      <c r="P19" s="64">
        <f>1-L19/$L$6</f>
        <v>0.19377042677643741</v>
      </c>
      <c r="Q19" s="65">
        <f>1-N19/$N$6</f>
        <v>-2.6756545176055857E-2</v>
      </c>
    </row>
    <row r="20" spans="1:17">
      <c r="A20" s="53" t="s">
        <v>109</v>
      </c>
      <c r="B20" s="54"/>
      <c r="C20" s="22" t="str">
        <f t="shared" ref="C20:E22" si="2">C19</f>
        <v>BEV</v>
      </c>
      <c r="D20" s="30" t="str">
        <f t="shared" si="2"/>
        <v>worst</v>
      </c>
      <c r="E20" s="30">
        <f t="shared" si="2"/>
        <v>24</v>
      </c>
      <c r="F20" s="227" t="str">
        <f t="shared" ref="F20:G22" si="3">F19</f>
        <v>kWh/100km</v>
      </c>
      <c r="G20" s="227">
        <f t="shared" si="3"/>
        <v>0.8640000000000001</v>
      </c>
      <c r="H20" s="227"/>
      <c r="I20" s="77">
        <f>G20*WTPs!B27</f>
        <v>2.7868720193548642</v>
      </c>
      <c r="J20" s="77">
        <f>G20*WTPs!C27</f>
        <v>7.9970059169215523E-3</v>
      </c>
      <c r="K20" s="77">
        <f>WTPs!D27*'WTW-micro EV'!G20</f>
        <v>3.8496590794904417E-2</v>
      </c>
      <c r="L20" s="80">
        <f>SUM(I20:K20)</f>
        <v>2.8333656160666902</v>
      </c>
      <c r="M20" s="20"/>
      <c r="N20" s="236">
        <f>G20*WTPs!G27</f>
        <v>65.623179937695866</v>
      </c>
      <c r="O20" s="35"/>
      <c r="P20" s="64">
        <f>1-L20/$L$6</f>
        <v>-2.8916297268976265E-2</v>
      </c>
      <c r="Q20" s="65">
        <f>1-N20/$N$6</f>
        <v>0.66530661650436973</v>
      </c>
    </row>
    <row r="21" spans="1:17">
      <c r="A21" s="53" t="s">
        <v>107</v>
      </c>
      <c r="B21" s="54"/>
      <c r="C21" s="22" t="str">
        <f t="shared" si="2"/>
        <v>BEV</v>
      </c>
      <c r="D21" s="30" t="str">
        <f t="shared" si="2"/>
        <v>worst</v>
      </c>
      <c r="E21" s="30">
        <f t="shared" si="2"/>
        <v>24</v>
      </c>
      <c r="F21" s="227" t="str">
        <f t="shared" si="3"/>
        <v>kWh/100km</v>
      </c>
      <c r="G21" s="227">
        <f t="shared" si="3"/>
        <v>0.8640000000000001</v>
      </c>
      <c r="H21" s="227"/>
      <c r="I21" s="77">
        <f>G21*WTPs!B28</f>
        <v>2.4657282290728451</v>
      </c>
      <c r="J21" s="77">
        <f>G21*WTPs!C28</f>
        <v>6.2723508682354569E-3</v>
      </c>
      <c r="K21" s="77">
        <f>WTPs!D28*'WTW-micro EV'!G21</f>
        <v>3.3905414838872709E-2</v>
      </c>
      <c r="L21" s="80">
        <f>SUM(I21:K21)</f>
        <v>2.5059059947799533</v>
      </c>
      <c r="M21" s="20"/>
      <c r="N21" s="236">
        <f>G21*WTPs!G28</f>
        <v>227.22761076294407</v>
      </c>
      <c r="O21" s="35"/>
      <c r="P21" s="64">
        <f>1-L21/$L$6</f>
        <v>8.9998303490236187E-2</v>
      </c>
      <c r="Q21" s="65">
        <f>1-N21/$N$6</f>
        <v>-0.15891332821851845</v>
      </c>
    </row>
    <row r="22" spans="1:17">
      <c r="A22" s="53" t="s">
        <v>111</v>
      </c>
      <c r="B22" s="54"/>
      <c r="C22" s="22" t="str">
        <f t="shared" si="2"/>
        <v>BEV</v>
      </c>
      <c r="D22" s="30" t="str">
        <f t="shared" si="2"/>
        <v>worst</v>
      </c>
      <c r="E22" s="30">
        <f t="shared" si="2"/>
        <v>24</v>
      </c>
      <c r="F22" s="227" t="str">
        <f t="shared" si="3"/>
        <v>kWh/100km</v>
      </c>
      <c r="G22" s="227">
        <f t="shared" si="3"/>
        <v>0.8640000000000001</v>
      </c>
      <c r="H22" s="227"/>
      <c r="I22" s="77">
        <f>G22*WTPs!B29</f>
        <v>3.0496783043273643</v>
      </c>
      <c r="J22" s="77">
        <f>G22*WTPs!C29</f>
        <v>8.7071707209385001E-3</v>
      </c>
      <c r="K22" s="77">
        <f>WTPs!D29*'WTW-micro EV'!G22</f>
        <v>4.2118390737855602E-2</v>
      </c>
      <c r="L22" s="80">
        <f>SUM(I22:K22)</f>
        <v>3.1005038657861586</v>
      </c>
      <c r="M22" s="20"/>
      <c r="N22" s="236">
        <f>G22*WTPs!G29</f>
        <v>81.072150284191736</v>
      </c>
      <c r="O22" s="35"/>
      <c r="P22" s="64">
        <f>1-L22/$L$6</f>
        <v>-0.12592562681037101</v>
      </c>
      <c r="Q22" s="65">
        <f>1-N22/$N$6</f>
        <v>0.58651329741039249</v>
      </c>
    </row>
    <row r="23" spans="1:17" s="154" customFormat="1">
      <c r="A23" s="167"/>
      <c r="B23" s="168"/>
      <c r="C23" s="168"/>
      <c r="D23" s="229"/>
      <c r="E23" s="229"/>
      <c r="F23" s="230"/>
      <c r="G23" s="230"/>
      <c r="H23" s="230"/>
      <c r="I23" s="168"/>
      <c r="J23" s="168"/>
      <c r="K23" s="168"/>
      <c r="L23" s="169"/>
      <c r="N23" s="237"/>
      <c r="O23" s="168"/>
      <c r="P23" s="168"/>
      <c r="Q23" s="169"/>
    </row>
    <row r="24" spans="1:17">
      <c r="A24" s="53" t="s">
        <v>304</v>
      </c>
      <c r="B24" s="22"/>
      <c r="C24" s="22" t="s">
        <v>328</v>
      </c>
      <c r="D24" s="30" t="str">
        <f>D35</f>
        <v>best</v>
      </c>
      <c r="E24" s="30">
        <f>E35</f>
        <v>15</v>
      </c>
      <c r="F24" s="30" t="str">
        <f>F35</f>
        <v>kWh/100km</v>
      </c>
      <c r="G24" s="30">
        <f>G35</f>
        <v>0.54</v>
      </c>
      <c r="H24" s="227"/>
      <c r="I24" s="77">
        <f>G24*WTPs!B15</f>
        <v>1.2999544053793013</v>
      </c>
      <c r="J24" s="77">
        <f>G24*WTPs!C15</f>
        <v>0.10107633176382128</v>
      </c>
      <c r="K24" s="77">
        <f>WTPs!D15*'WTW-micro EV'!G24</f>
        <v>3.6749356885296861E-2</v>
      </c>
      <c r="L24" s="80">
        <f>SUM(I24:K24)</f>
        <v>1.4377800940284193</v>
      </c>
      <c r="M24" s="20"/>
      <c r="N24" s="236">
        <f>G24*WTPs!G15</f>
        <v>128.0141310984877</v>
      </c>
      <c r="O24" s="35"/>
      <c r="P24" s="64">
        <f>1-L24/$L$6</f>
        <v>0.47788052405025672</v>
      </c>
      <c r="Q24" s="65">
        <f>1-N24/$N$6</f>
        <v>0.34709834675362428</v>
      </c>
    </row>
    <row r="25" spans="1:17">
      <c r="A25" s="53" t="s">
        <v>305</v>
      </c>
      <c r="B25" s="22"/>
      <c r="C25" s="22" t="s">
        <v>328</v>
      </c>
      <c r="D25" s="30" t="str">
        <f t="shared" ref="D25:G26" si="4">D24</f>
        <v>best</v>
      </c>
      <c r="E25" s="30">
        <f t="shared" si="4"/>
        <v>15</v>
      </c>
      <c r="F25" s="30" t="str">
        <f t="shared" si="4"/>
        <v>kWh/100km</v>
      </c>
      <c r="G25" s="30">
        <f t="shared" si="4"/>
        <v>0.54</v>
      </c>
      <c r="H25" s="227"/>
      <c r="I25" s="77">
        <f>G25*WTPs!B16</f>
        <v>1.6618567726511795</v>
      </c>
      <c r="J25" s="77">
        <f>G25*WTPs!C16</f>
        <v>4.0562116097511685E-3</v>
      </c>
      <c r="K25" s="77">
        <f>WTPs!D16*'WTW-micro EV'!G25</f>
        <v>2.2497644214521918E-2</v>
      </c>
      <c r="L25" s="80">
        <f t="shared" ref="L25:L33" si="5">SUM(I25:K25)</f>
        <v>1.6884106284754525</v>
      </c>
      <c r="M25" s="20"/>
      <c r="N25" s="236">
        <f>G25*WTPs!G16</f>
        <v>154.5196194540485</v>
      </c>
      <c r="O25" s="35"/>
      <c r="P25" s="64">
        <f t="shared" ref="P25:P33" si="6">1-L25/$L$6</f>
        <v>0.38686585230317205</v>
      </c>
      <c r="Q25" s="65">
        <f t="shared" ref="Q25:Q33" si="7">1-N25/$N$6</f>
        <v>0.21191423060214853</v>
      </c>
    </row>
    <row r="26" spans="1:17">
      <c r="A26" s="53" t="s">
        <v>306</v>
      </c>
      <c r="B26" s="22"/>
      <c r="C26" s="22" t="s">
        <v>328</v>
      </c>
      <c r="D26" s="30" t="str">
        <f t="shared" si="4"/>
        <v>best</v>
      </c>
      <c r="E26" s="30">
        <f t="shared" si="4"/>
        <v>15</v>
      </c>
      <c r="F26" s="30" t="str">
        <f t="shared" si="4"/>
        <v>kWh/100km</v>
      </c>
      <c r="G26" s="30">
        <f t="shared" si="4"/>
        <v>0.54</v>
      </c>
      <c r="H26" s="227"/>
      <c r="I26" s="77">
        <f>G26*WTPs!B17</f>
        <v>1.10365594104415</v>
      </c>
      <c r="J26" s="77">
        <f>G26*WTPs!C17</f>
        <v>2.8253444350390408E-3</v>
      </c>
      <c r="K26" s="77">
        <f>WTPs!D17*'WTW-micro EV'!G26</f>
        <v>1.5083906876978824E-2</v>
      </c>
      <c r="L26" s="80">
        <f t="shared" si="5"/>
        <v>1.1215651923561678</v>
      </c>
      <c r="M26" s="20"/>
      <c r="N26" s="236">
        <f>G26*WTPs!G17</f>
        <v>103.43718637258317</v>
      </c>
      <c r="O26" s="35"/>
      <c r="P26" s="64">
        <f t="shared" si="6"/>
        <v>0.59271168594652934</v>
      </c>
      <c r="Q26" s="65">
        <f t="shared" si="7"/>
        <v>0.47244644469870678</v>
      </c>
    </row>
    <row r="27" spans="1:17">
      <c r="A27" s="53"/>
      <c r="B27" s="22"/>
      <c r="C27" s="22"/>
      <c r="D27" s="30"/>
      <c r="E27" s="30"/>
      <c r="F27" s="30"/>
      <c r="G27" s="30"/>
      <c r="H27" s="227"/>
      <c r="I27" s="77"/>
      <c r="J27" s="77"/>
      <c r="K27" s="77"/>
      <c r="L27" s="80"/>
      <c r="M27" s="20"/>
      <c r="N27" s="236"/>
      <c r="O27" s="35"/>
      <c r="P27" s="64"/>
      <c r="Q27" s="65"/>
    </row>
    <row r="28" spans="1:17">
      <c r="A28" s="147" t="s">
        <v>324</v>
      </c>
      <c r="B28" s="22"/>
      <c r="C28" s="22" t="s">
        <v>328</v>
      </c>
      <c r="D28" s="30" t="str">
        <f>D26</f>
        <v>best</v>
      </c>
      <c r="E28" s="30">
        <f>E26</f>
        <v>15</v>
      </c>
      <c r="F28" s="30" t="str">
        <f>F26</f>
        <v>kWh/100km</v>
      </c>
      <c r="G28" s="30">
        <f>G26</f>
        <v>0.54</v>
      </c>
      <c r="H28" s="227"/>
      <c r="I28" s="77">
        <f>G28*WTPs!B19</f>
        <v>9.5119996635153595E-2</v>
      </c>
      <c r="J28" s="77">
        <f>G28*WTPs!C19</f>
        <v>7.4632809840881602E-4</v>
      </c>
      <c r="K28" s="77">
        <f>WTPs!D19*'WTW-micro EV'!G28</f>
        <v>1.2577460692770111E-2</v>
      </c>
      <c r="L28" s="80">
        <f t="shared" si="5"/>
        <v>0.10844378542633251</v>
      </c>
      <c r="M28" s="20"/>
      <c r="N28" s="236">
        <f>G28*WTPs!G19</f>
        <v>11.095387815373464</v>
      </c>
      <c r="O28" s="35"/>
      <c r="P28" s="64">
        <f t="shared" si="6"/>
        <v>0.96061942111177678</v>
      </c>
      <c r="Q28" s="65">
        <f t="shared" si="7"/>
        <v>0.9434109579473402</v>
      </c>
    </row>
    <row r="29" spans="1:17">
      <c r="A29" s="147" t="s">
        <v>325</v>
      </c>
      <c r="B29" s="22"/>
      <c r="C29" s="22" t="s">
        <v>328</v>
      </c>
      <c r="D29" s="30" t="str">
        <f t="shared" ref="D29:G30" si="8">D28</f>
        <v>best</v>
      </c>
      <c r="E29" s="30">
        <f t="shared" si="8"/>
        <v>15</v>
      </c>
      <c r="F29" s="30" t="str">
        <f t="shared" si="8"/>
        <v>kWh/100km</v>
      </c>
      <c r="G29" s="30">
        <f t="shared" si="8"/>
        <v>0.54</v>
      </c>
      <c r="H29" s="227"/>
      <c r="I29" s="77">
        <f>G29*WTPs!B20</f>
        <v>0.14985828628518416</v>
      </c>
      <c r="J29" s="77">
        <f>G29*WTPs!C20</f>
        <v>1.1758142745002091E-3</v>
      </c>
      <c r="K29" s="77">
        <f>WTPs!D20*'WTW-micro EV'!G29</f>
        <v>1.9815357147954449E-2</v>
      </c>
      <c r="L29" s="80">
        <f t="shared" si="5"/>
        <v>0.17084945770763882</v>
      </c>
      <c r="M29" s="20"/>
      <c r="N29" s="236">
        <f>G29*WTPs!G20</f>
        <v>17.480402255048883</v>
      </c>
      <c r="O29" s="35"/>
      <c r="P29" s="64">
        <f t="shared" si="6"/>
        <v>0.93795725111572803</v>
      </c>
      <c r="Q29" s="65">
        <f t="shared" si="7"/>
        <v>0.91084590869930981</v>
      </c>
    </row>
    <row r="30" spans="1:17">
      <c r="A30" s="147" t="s">
        <v>326</v>
      </c>
      <c r="B30" s="22"/>
      <c r="C30" s="22" t="s">
        <v>328</v>
      </c>
      <c r="D30" s="30" t="str">
        <f t="shared" si="8"/>
        <v>best</v>
      </c>
      <c r="E30" s="30">
        <f t="shared" si="8"/>
        <v>15</v>
      </c>
      <c r="F30" s="30" t="str">
        <f t="shared" si="8"/>
        <v>kWh/100km</v>
      </c>
      <c r="G30" s="30">
        <f t="shared" si="8"/>
        <v>0.54</v>
      </c>
      <c r="H30" s="227"/>
      <c r="I30" s="77">
        <f>G30*WTPs!B21</f>
        <v>0.27675169226192831</v>
      </c>
      <c r="J30" s="77">
        <f>G30*WTPs!C21</f>
        <v>2.1714420891908739E-3</v>
      </c>
      <c r="K30" s="77">
        <f>WTPs!D21*'WTW-micro EV'!G30</f>
        <v>3.6594130090576535E-2</v>
      </c>
      <c r="L30" s="80">
        <f t="shared" si="5"/>
        <v>0.31551726444169576</v>
      </c>
      <c r="M30" s="20"/>
      <c r="N30" s="236">
        <f>G30*WTPs!G21</f>
        <v>32.282038086954223</v>
      </c>
      <c r="O30" s="35"/>
      <c r="P30" s="64">
        <f t="shared" si="6"/>
        <v>0.88542218003462048</v>
      </c>
      <c r="Q30" s="65">
        <f t="shared" si="7"/>
        <v>0.83535414523167528</v>
      </c>
    </row>
    <row r="31" spans="1:17">
      <c r="A31" s="53"/>
      <c r="B31" s="22"/>
      <c r="C31" s="22"/>
      <c r="D31" s="30"/>
      <c r="E31" s="30"/>
      <c r="F31" s="30"/>
      <c r="G31" s="30"/>
      <c r="H31" s="227"/>
      <c r="I31" s="77"/>
      <c r="J31" s="77"/>
      <c r="K31" s="77"/>
      <c r="L31" s="80"/>
      <c r="M31" s="20"/>
      <c r="N31" s="236"/>
      <c r="O31" s="35"/>
      <c r="P31" s="64"/>
      <c r="Q31" s="65"/>
    </row>
    <row r="32" spans="1:17">
      <c r="A32" s="53" t="s">
        <v>302</v>
      </c>
      <c r="B32" s="22"/>
      <c r="C32" s="22" t="str">
        <f>C33</f>
        <v>BEV</v>
      </c>
      <c r="D32" s="30" t="str">
        <f>D30</f>
        <v>best</v>
      </c>
      <c r="E32" s="30">
        <f>E30</f>
        <v>15</v>
      </c>
      <c r="F32" s="30" t="str">
        <f>F30</f>
        <v>kWh/100km</v>
      </c>
      <c r="G32" s="30">
        <f>G30</f>
        <v>0.54</v>
      </c>
      <c r="H32" s="227"/>
      <c r="I32" s="77">
        <f>G32*WTPs!B23</f>
        <v>1.7246437059304522</v>
      </c>
      <c r="J32" s="77">
        <f>G32*WTPs!C23</f>
        <v>4.387170621134218E-3</v>
      </c>
      <c r="K32" s="77">
        <f>WTPs!D23*'WTW-micro EV'!G32</f>
        <v>2.371500622386526E-2</v>
      </c>
      <c r="L32" s="80">
        <f t="shared" si="5"/>
        <v>1.7527458827754518</v>
      </c>
      <c r="M32" s="20"/>
      <c r="N32" s="236">
        <f>G32*WTPs!G23</f>
        <v>158.93343966106198</v>
      </c>
      <c r="O32" s="35"/>
      <c r="P32" s="64">
        <f t="shared" si="6"/>
        <v>0.3635029685077138</v>
      </c>
      <c r="Q32" s="65">
        <f t="shared" si="7"/>
        <v>0.18940272749258746</v>
      </c>
    </row>
    <row r="33" spans="1:17">
      <c r="A33" s="53" t="s">
        <v>303</v>
      </c>
      <c r="B33" s="22"/>
      <c r="C33" s="22" t="str">
        <f>C35</f>
        <v>BEV</v>
      </c>
      <c r="D33" s="30" t="str">
        <f>D32</f>
        <v>best</v>
      </c>
      <c r="E33" s="30">
        <f>E32</f>
        <v>15</v>
      </c>
      <c r="F33" s="30" t="str">
        <f>F32</f>
        <v>kWh/100km</v>
      </c>
      <c r="G33" s="30">
        <f>G32</f>
        <v>0.54</v>
      </c>
      <c r="H33" s="227"/>
      <c r="I33" s="77">
        <f>G33*WTPs!B24</f>
        <v>2.3596392805386701</v>
      </c>
      <c r="J33" s="77">
        <f>G33*WTPs!C24</f>
        <v>6.7710498211670687E-3</v>
      </c>
      <c r="K33" s="77">
        <f>WTPs!D24*'WTW-micro EV'!G33</f>
        <v>3.25949907909686E-2</v>
      </c>
      <c r="L33" s="80">
        <f t="shared" si="5"/>
        <v>2.3990053211508058</v>
      </c>
      <c r="M33" s="20"/>
      <c r="N33" s="236">
        <f>G33*WTPs!G24</f>
        <v>55.563022635926465</v>
      </c>
      <c r="O33" s="35"/>
      <c r="P33" s="64">
        <f t="shared" si="6"/>
        <v>0.12881851245386222</v>
      </c>
      <c r="Q33" s="65">
        <f t="shared" si="7"/>
        <v>0.71661574369119985</v>
      </c>
    </row>
    <row r="34" spans="1:17">
      <c r="A34" s="53"/>
      <c r="B34" s="22"/>
      <c r="C34" s="22"/>
      <c r="D34" s="30"/>
      <c r="E34" s="30"/>
      <c r="F34" s="227"/>
      <c r="G34" s="227"/>
      <c r="H34" s="227"/>
      <c r="I34" s="77"/>
      <c r="J34" s="77"/>
      <c r="K34" s="77"/>
      <c r="L34" s="80"/>
      <c r="M34" s="20"/>
      <c r="N34" s="236"/>
      <c r="O34" s="35"/>
      <c r="P34" s="35"/>
      <c r="Q34" s="40"/>
    </row>
    <row r="35" spans="1:17">
      <c r="A35" s="39" t="s">
        <v>141</v>
      </c>
      <c r="B35" s="35"/>
      <c r="C35" s="35" t="str">
        <f>C22</f>
        <v>BEV</v>
      </c>
      <c r="D35" s="228" t="s">
        <v>330</v>
      </c>
      <c r="E35" s="95">
        <f>Vehicle!D6</f>
        <v>15</v>
      </c>
      <c r="F35" s="35" t="str">
        <f>Vehicle!E6</f>
        <v>kWh/100km</v>
      </c>
      <c r="G35" s="35">
        <f>Vehicle!F6</f>
        <v>0.54</v>
      </c>
      <c r="H35" s="97"/>
      <c r="I35" s="77">
        <f>G35*WTPs!B26</f>
        <v>1.3653429338616081</v>
      </c>
      <c r="J35" s="77">
        <f>G35*WTPs!C26</f>
        <v>3.473176741731256E-3</v>
      </c>
      <c r="K35" s="77">
        <f>WTPs!D26*'WTW-micro EV'!G35</f>
        <v>1.8774379927226664E-2</v>
      </c>
      <c r="L35" s="80">
        <f>SUM(I35:K35)</f>
        <v>1.387590490530566</v>
      </c>
      <c r="M35" s="20"/>
      <c r="N35" s="236">
        <f>G35*WTPs!G26</f>
        <v>125.82230639834073</v>
      </c>
      <c r="O35" s="35"/>
      <c r="P35" s="64">
        <f>1-L35/$L$6</f>
        <v>0.4961065167352734</v>
      </c>
      <c r="Q35" s="65">
        <f>1-N35/$N$6</f>
        <v>0.35827715926496506</v>
      </c>
    </row>
    <row r="36" spans="1:17">
      <c r="A36" s="39" t="s">
        <v>108</v>
      </c>
      <c r="B36" s="35"/>
      <c r="C36" s="35" t="str">
        <f t="shared" ref="C36:G38" si="9">C35</f>
        <v>BEV</v>
      </c>
      <c r="D36" s="94" t="str">
        <f t="shared" si="9"/>
        <v>best</v>
      </c>
      <c r="E36" s="94">
        <f t="shared" si="9"/>
        <v>15</v>
      </c>
      <c r="F36" s="97" t="str">
        <f t="shared" si="9"/>
        <v>kWh/100km</v>
      </c>
      <c r="G36" s="97">
        <f t="shared" si="9"/>
        <v>0.54</v>
      </c>
      <c r="H36" s="97"/>
      <c r="I36" s="77">
        <f>G36*WTPs!B27</f>
        <v>1.74179501209679</v>
      </c>
      <c r="J36" s="77">
        <f>G36*WTPs!C27</f>
        <v>4.9981286980759704E-3</v>
      </c>
      <c r="K36" s="77">
        <f>WTPs!D27*'WTW-micro EV'!G36</f>
        <v>2.4060369246815257E-2</v>
      </c>
      <c r="L36" s="80">
        <f>SUM(I36:K36)</f>
        <v>1.7708535100416813</v>
      </c>
      <c r="M36" s="20"/>
      <c r="N36" s="236">
        <f>G36*WTPs!G27</f>
        <v>41.014487461059915</v>
      </c>
      <c r="O36" s="35"/>
      <c r="P36" s="64">
        <f>1-L36/$L$6</f>
        <v>0.35692731420688983</v>
      </c>
      <c r="Q36" s="65">
        <f>1-N36/$N$6</f>
        <v>0.79081663531523116</v>
      </c>
    </row>
    <row r="37" spans="1:17">
      <c r="A37" s="39" t="s">
        <v>22</v>
      </c>
      <c r="B37" s="35"/>
      <c r="C37" s="35" t="str">
        <f t="shared" si="9"/>
        <v>BEV</v>
      </c>
      <c r="D37" s="94" t="str">
        <f t="shared" si="9"/>
        <v>best</v>
      </c>
      <c r="E37" s="94">
        <f t="shared" si="9"/>
        <v>15</v>
      </c>
      <c r="F37" s="97" t="str">
        <f t="shared" si="9"/>
        <v>kWh/100km</v>
      </c>
      <c r="G37" s="97">
        <f t="shared" si="9"/>
        <v>0.54</v>
      </c>
      <c r="H37" s="97"/>
      <c r="I37" s="77">
        <f>G37*WTPs!B28</f>
        <v>1.5410801431705281</v>
      </c>
      <c r="J37" s="77">
        <f>G37*WTPs!C28</f>
        <v>3.9202192926471608E-3</v>
      </c>
      <c r="K37" s="77">
        <f>WTPs!D28*'WTW-micro EV'!G37</f>
        <v>2.1190884274295444E-2</v>
      </c>
      <c r="L37" s="80">
        <f>SUM(I37:K37)</f>
        <v>1.5661912467374706</v>
      </c>
      <c r="M37" s="20"/>
      <c r="N37" s="236">
        <f>G37*WTPs!G28</f>
        <v>142.01725672684003</v>
      </c>
      <c r="O37" s="35"/>
      <c r="P37" s="64">
        <f>1-L37/$L$6</f>
        <v>0.43124893968139777</v>
      </c>
      <c r="Q37" s="65">
        <f>1-N37/$N$6</f>
        <v>0.275679169863426</v>
      </c>
    </row>
    <row r="38" spans="1:17" ht="14.25" thickBot="1">
      <c r="A38" s="41" t="s">
        <v>110</v>
      </c>
      <c r="B38" s="42"/>
      <c r="C38" s="42" t="str">
        <f t="shared" si="9"/>
        <v>BEV</v>
      </c>
      <c r="D38" s="231" t="str">
        <f t="shared" si="9"/>
        <v>best</v>
      </c>
      <c r="E38" s="231">
        <f t="shared" si="9"/>
        <v>15</v>
      </c>
      <c r="F38" s="232" t="str">
        <f t="shared" si="9"/>
        <v>kWh/100km</v>
      </c>
      <c r="G38" s="232">
        <f t="shared" si="9"/>
        <v>0.54</v>
      </c>
      <c r="H38" s="232"/>
      <c r="I38" s="78">
        <f>G38*WTPs!B29</f>
        <v>1.9060489402046026</v>
      </c>
      <c r="J38" s="78">
        <f>G38*WTPs!C29</f>
        <v>5.4419817005865621E-3</v>
      </c>
      <c r="K38" s="78">
        <f>WTPs!D29*'WTW-micro EV'!G38</f>
        <v>2.6323994211159749E-2</v>
      </c>
      <c r="L38" s="81">
        <f>SUM(I38:K38)</f>
        <v>1.9378149161163489</v>
      </c>
      <c r="M38" s="20"/>
      <c r="N38" s="238">
        <f>G38*WTPs!G29</f>
        <v>50.670093927619838</v>
      </c>
      <c r="O38" s="35"/>
      <c r="P38" s="64">
        <f>1-L38/$L$6</f>
        <v>0.2962964832435182</v>
      </c>
      <c r="Q38" s="65">
        <f>1-N38/$N$6</f>
        <v>0.74157081088149535</v>
      </c>
    </row>
    <row r="39" spans="1:17">
      <c r="O39" s="39"/>
      <c r="P39" s="35"/>
      <c r="Q39" s="40"/>
    </row>
    <row r="40" spans="1:17">
      <c r="O40" s="39"/>
      <c r="P40" s="35"/>
      <c r="Q40" s="40"/>
    </row>
    <row r="41" spans="1:17">
      <c r="C41" s="87" t="s">
        <v>164</v>
      </c>
      <c r="D41" s="88" t="s">
        <v>165</v>
      </c>
      <c r="E41" s="89" t="str">
        <f>L3</f>
        <v>total EF</v>
      </c>
      <c r="F41" s="90" t="str">
        <f>N3</f>
        <v>total GHG</v>
      </c>
      <c r="G41" s="91" t="s">
        <v>167</v>
      </c>
      <c r="H41" s="92" t="s">
        <v>168</v>
      </c>
      <c r="O41" s="53" t="s">
        <v>144</v>
      </c>
      <c r="P41" s="54" t="s">
        <v>145</v>
      </c>
      <c r="Q41" s="66" t="s">
        <v>146</v>
      </c>
    </row>
    <row r="42" spans="1:17" ht="14.25" thickBot="1">
      <c r="C42" s="93"/>
      <c r="D42" s="94"/>
      <c r="E42" s="95" t="s">
        <v>169</v>
      </c>
      <c r="F42" s="96" t="s">
        <v>170</v>
      </c>
      <c r="G42" s="97"/>
      <c r="H42" s="98"/>
      <c r="O42" s="55" t="s">
        <v>147</v>
      </c>
      <c r="P42" s="56" t="s">
        <v>148</v>
      </c>
      <c r="Q42" s="67" t="s">
        <v>149</v>
      </c>
    </row>
    <row r="43" spans="1:17">
      <c r="C43" s="113" t="str">
        <f>A6</f>
        <v>Gasoline</v>
      </c>
      <c r="D43" s="114" t="str">
        <f>C6</f>
        <v>gasoline vehicle</v>
      </c>
      <c r="E43" s="115">
        <f>L6</f>
        <v>2.7537377176231081</v>
      </c>
      <c r="F43" s="116">
        <f>N6</f>
        <v>196.06954655723766</v>
      </c>
      <c r="G43" s="114"/>
      <c r="H43" s="117"/>
    </row>
    <row r="44" spans="1:17">
      <c r="C44" s="93"/>
      <c r="D44" s="35"/>
      <c r="E44" s="77"/>
      <c r="F44" s="99"/>
      <c r="G44" s="35"/>
      <c r="H44" s="84"/>
    </row>
    <row r="45" spans="1:17">
      <c r="C45" s="107" t="str">
        <f>A19</f>
        <v>coal to power</v>
      </c>
      <c r="D45" s="108" t="str">
        <f>C19</f>
        <v>BEV</v>
      </c>
      <c r="E45" s="109">
        <f>L19</f>
        <v>2.2201447848489058</v>
      </c>
      <c r="F45" s="110">
        <f>N19</f>
        <v>201.31569023734519</v>
      </c>
      <c r="G45" s="111">
        <f t="shared" ref="G45:H48" si="10">P19</f>
        <v>0.19377042677643741</v>
      </c>
      <c r="H45" s="112">
        <f t="shared" si="10"/>
        <v>-2.6756545176055857E-2</v>
      </c>
    </row>
    <row r="46" spans="1:17">
      <c r="C46" s="93" t="str">
        <f>A20</f>
        <v>cte+CCS</v>
      </c>
      <c r="D46" s="35" t="str">
        <f>C20</f>
        <v>BEV</v>
      </c>
      <c r="E46" s="77">
        <f>L20</f>
        <v>2.8333656160666902</v>
      </c>
      <c r="F46" s="99">
        <f>N20</f>
        <v>65.623179937695866</v>
      </c>
      <c r="G46" s="64">
        <f t="shared" si="10"/>
        <v>-2.8916297268976265E-2</v>
      </c>
      <c r="H46" s="100">
        <f t="shared" si="10"/>
        <v>0.66530661650436973</v>
      </c>
    </row>
    <row r="47" spans="1:17">
      <c r="C47" s="93" t="str">
        <f>A21</f>
        <v>IGCC</v>
      </c>
      <c r="D47" s="35" t="str">
        <f>C21</f>
        <v>BEV</v>
      </c>
      <c r="E47" s="77">
        <f>L21</f>
        <v>2.5059059947799533</v>
      </c>
      <c r="F47" s="99">
        <f>N21</f>
        <v>227.22761076294407</v>
      </c>
      <c r="G47" s="64">
        <f t="shared" si="10"/>
        <v>8.9998303490236187E-2</v>
      </c>
      <c r="H47" s="100">
        <f t="shared" si="10"/>
        <v>-0.15891332821851845</v>
      </c>
    </row>
    <row r="48" spans="1:17">
      <c r="C48" s="101" t="str">
        <f>A22</f>
        <v>IGCC+CCS</v>
      </c>
      <c r="D48" s="102" t="str">
        <f>C22</f>
        <v>BEV</v>
      </c>
      <c r="E48" s="103">
        <f>L22</f>
        <v>3.1005038657861586</v>
      </c>
      <c r="F48" s="104">
        <f>N22</f>
        <v>81.072150284191736</v>
      </c>
      <c r="G48" s="105">
        <f t="shared" si="10"/>
        <v>-0.12592562681037101</v>
      </c>
      <c r="H48" s="106">
        <f t="shared" si="10"/>
        <v>0.58651329741039249</v>
      </c>
    </row>
    <row r="49" spans="3:8">
      <c r="C49" s="93"/>
      <c r="D49" s="35"/>
      <c r="E49" s="77"/>
      <c r="F49" s="99"/>
      <c r="G49" s="35"/>
      <c r="H49" s="84"/>
    </row>
    <row r="50" spans="3:8">
      <c r="C50" s="107" t="str">
        <f>A35</f>
        <v>coal to power</v>
      </c>
      <c r="D50" s="108" t="str">
        <f>C35</f>
        <v>BEV</v>
      </c>
      <c r="E50" s="109">
        <f>L35</f>
        <v>1.387590490530566</v>
      </c>
      <c r="F50" s="110">
        <f>N35</f>
        <v>125.82230639834073</v>
      </c>
      <c r="G50" s="111">
        <f t="shared" ref="G50:H53" si="11">P35</f>
        <v>0.4961065167352734</v>
      </c>
      <c r="H50" s="112">
        <f t="shared" si="11"/>
        <v>0.35827715926496506</v>
      </c>
    </row>
    <row r="51" spans="3:8">
      <c r="C51" s="93" t="str">
        <f>A36</f>
        <v>cte+CCS</v>
      </c>
      <c r="D51" s="35" t="str">
        <f>C36</f>
        <v>BEV</v>
      </c>
      <c r="E51" s="77">
        <f>L36</f>
        <v>1.7708535100416813</v>
      </c>
      <c r="F51" s="99">
        <f>N36</f>
        <v>41.014487461059915</v>
      </c>
      <c r="G51" s="64">
        <f t="shared" si="11"/>
        <v>0.35692731420688983</v>
      </c>
      <c r="H51" s="100">
        <f t="shared" si="11"/>
        <v>0.79081663531523116</v>
      </c>
    </row>
    <row r="52" spans="3:8">
      <c r="C52" s="93" t="str">
        <f>A37</f>
        <v>IGCC</v>
      </c>
      <c r="D52" s="35" t="str">
        <f>C37</f>
        <v>BEV</v>
      </c>
      <c r="E52" s="77">
        <f>L37</f>
        <v>1.5661912467374706</v>
      </c>
      <c r="F52" s="99">
        <f>N37</f>
        <v>142.01725672684003</v>
      </c>
      <c r="G52" s="64">
        <f t="shared" si="11"/>
        <v>0.43124893968139777</v>
      </c>
      <c r="H52" s="100">
        <f t="shared" si="11"/>
        <v>0.275679169863426</v>
      </c>
    </row>
    <row r="53" spans="3:8">
      <c r="C53" s="101" t="str">
        <f>A38</f>
        <v>IGCC+CCS</v>
      </c>
      <c r="D53" s="102" t="str">
        <f>C38</f>
        <v>BEV</v>
      </c>
      <c r="E53" s="103">
        <f>L38</f>
        <v>1.9378149161163489</v>
      </c>
      <c r="F53" s="104">
        <f>N38</f>
        <v>50.670093927619838</v>
      </c>
      <c r="G53" s="105">
        <f t="shared" si="11"/>
        <v>0.2962964832435182</v>
      </c>
      <c r="H53" s="106">
        <f t="shared" si="11"/>
        <v>0.74157081088149535</v>
      </c>
    </row>
  </sheetData>
  <phoneticPr fontId="2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Q53"/>
  <sheetViews>
    <sheetView workbookViewId="0">
      <pane xSplit="1" topLeftCell="B1" activePane="topRight" state="frozen"/>
      <selection activeCell="J25" sqref="J25"/>
      <selection pane="topRight" activeCell="J25" sqref="J25"/>
    </sheetView>
  </sheetViews>
  <sheetFormatPr defaultRowHeight="13.5"/>
  <cols>
    <col min="1" max="3" width="11.875" customWidth="1"/>
    <col min="4" max="5" width="14.5" style="58" customWidth="1"/>
    <col min="6" max="8" width="14.5" style="61" customWidth="1"/>
    <col min="14" max="14" width="11.375" customWidth="1"/>
  </cols>
  <sheetData>
    <row r="1" spans="1:17" ht="14.25" thickBot="1">
      <c r="B1" s="202"/>
      <c r="C1" s="202"/>
      <c r="E1" s="223"/>
      <c r="F1" s="224"/>
      <c r="G1" s="224"/>
      <c r="H1" s="224"/>
      <c r="J1" s="37"/>
      <c r="K1" s="37"/>
      <c r="L1" s="38"/>
    </row>
    <row r="2" spans="1:17" ht="14.25" thickBot="1">
      <c r="A2" s="146" t="s">
        <v>134</v>
      </c>
      <c r="B2" s="202"/>
      <c r="C2" s="202"/>
      <c r="D2" s="223" t="s">
        <v>135</v>
      </c>
      <c r="E2" s="223"/>
      <c r="F2" s="224"/>
      <c r="G2" s="224"/>
      <c r="H2" s="224"/>
      <c r="I2" s="202" t="s">
        <v>117</v>
      </c>
      <c r="J2" s="37"/>
      <c r="K2" s="37"/>
      <c r="L2" s="38"/>
      <c r="N2" s="233" t="s">
        <v>116</v>
      </c>
    </row>
    <row r="3" spans="1:17" ht="51.75" thickBot="1">
      <c r="A3" s="39"/>
      <c r="B3" s="35"/>
      <c r="C3" s="22"/>
      <c r="D3" s="94"/>
      <c r="E3" s="94"/>
      <c r="F3" s="97"/>
      <c r="G3" s="97"/>
      <c r="H3" s="97"/>
      <c r="I3" s="1" t="s">
        <v>113</v>
      </c>
      <c r="J3" s="2" t="s">
        <v>114</v>
      </c>
      <c r="K3" s="2" t="s">
        <v>115</v>
      </c>
      <c r="L3" s="225" t="s">
        <v>120</v>
      </c>
      <c r="M3" s="30"/>
      <c r="N3" s="234" t="s">
        <v>166</v>
      </c>
      <c r="P3" s="201" t="s">
        <v>337</v>
      </c>
    </row>
    <row r="4" spans="1:17" ht="14.25" thickBot="1">
      <c r="A4" s="39"/>
      <c r="B4" s="35"/>
      <c r="C4" s="22"/>
      <c r="D4" s="94"/>
      <c r="E4" s="94"/>
      <c r="F4" s="97"/>
      <c r="G4" s="97"/>
      <c r="H4" s="97"/>
      <c r="I4" s="30" t="s">
        <v>137</v>
      </c>
      <c r="J4" s="30" t="s">
        <v>137</v>
      </c>
      <c r="K4" s="30" t="s">
        <v>137</v>
      </c>
      <c r="L4" s="225" t="s">
        <v>137</v>
      </c>
      <c r="M4" s="30"/>
      <c r="N4" s="235" t="s">
        <v>139</v>
      </c>
    </row>
    <row r="5" spans="1:17">
      <c r="A5" s="39"/>
      <c r="B5" s="35"/>
      <c r="C5" s="22"/>
      <c r="D5" s="94"/>
      <c r="E5" s="94"/>
      <c r="F5" s="97"/>
      <c r="G5" s="96" t="s">
        <v>140</v>
      </c>
      <c r="H5" s="97"/>
      <c r="I5" s="30"/>
      <c r="J5" s="30"/>
      <c r="K5" s="30"/>
      <c r="L5" s="225"/>
      <c r="M5" s="30"/>
      <c r="N5" s="234"/>
      <c r="O5" s="37"/>
      <c r="P5" s="202" t="s">
        <v>338</v>
      </c>
      <c r="Q5" s="203" t="s">
        <v>339</v>
      </c>
    </row>
    <row r="6" spans="1:17">
      <c r="A6" s="226" t="s">
        <v>6</v>
      </c>
      <c r="B6" s="22"/>
      <c r="C6" s="22" t="str">
        <f>Vehicle!B4</f>
        <v>gasoline vehicle</v>
      </c>
      <c r="D6" s="30"/>
      <c r="E6" s="30">
        <f>Vehicle!D9</f>
        <v>9.1999999999999993</v>
      </c>
      <c r="F6" s="227" t="str">
        <f>Vehicle!E4</f>
        <v>liter/100km</v>
      </c>
      <c r="G6" s="96">
        <f>Vehicle!F9</f>
        <v>2.8727689999999995</v>
      </c>
      <c r="H6" s="227"/>
      <c r="I6" s="77">
        <f>G6*WTPs!B5</f>
        <v>0.21333195640303682</v>
      </c>
      <c r="J6" s="77">
        <f>G6*WTPs!C5</f>
        <v>0.1441447656885011</v>
      </c>
      <c r="K6" s="77">
        <f>WTPs!D5*'WTW-small EV'!G6</f>
        <v>3.3141735680726065</v>
      </c>
      <c r="L6" s="80">
        <f>SUM(I6:K6)</f>
        <v>3.6716502901641443</v>
      </c>
      <c r="M6" s="20"/>
      <c r="N6" s="236">
        <f>G6*WTPs!G5</f>
        <v>261.4260620763169</v>
      </c>
      <c r="O6" s="35"/>
      <c r="P6" s="35"/>
      <c r="Q6" s="40"/>
    </row>
    <row r="7" spans="1:17">
      <c r="A7" s="226"/>
      <c r="B7" s="22"/>
      <c r="C7" s="22"/>
      <c r="D7" s="30"/>
      <c r="E7" s="30"/>
      <c r="F7" s="227"/>
      <c r="G7" s="227"/>
      <c r="H7" s="227"/>
      <c r="I7" s="77"/>
      <c r="J7" s="77"/>
      <c r="K7" s="77"/>
      <c r="L7" s="80"/>
      <c r="M7" s="20"/>
      <c r="N7" s="236"/>
      <c r="O7" s="35"/>
      <c r="P7" s="35"/>
      <c r="Q7" s="40"/>
    </row>
    <row r="8" spans="1:17">
      <c r="A8" s="147" t="s">
        <v>304</v>
      </c>
      <c r="B8" s="22"/>
      <c r="C8" s="22" t="s">
        <v>328</v>
      </c>
      <c r="D8" s="30" t="str">
        <f>D19</f>
        <v>worst</v>
      </c>
      <c r="E8" s="30">
        <f>E19</f>
        <v>32</v>
      </c>
      <c r="F8" s="30" t="str">
        <f>F19</f>
        <v>kWh/100km</v>
      </c>
      <c r="G8" s="30">
        <f>G19</f>
        <v>1.1520000000000001</v>
      </c>
      <c r="H8" s="227"/>
      <c r="I8" s="77">
        <f>G8*WTPs!B15</f>
        <v>2.7732360648091761</v>
      </c>
      <c r="J8" s="77">
        <f>G8*WTPs!C15</f>
        <v>0.21562950776281875</v>
      </c>
      <c r="K8" s="77">
        <f>WTPs!D15*'WTW-small EV'!G8</f>
        <v>7.8398628021966649E-2</v>
      </c>
      <c r="L8" s="80">
        <f>SUM(I8:K8)</f>
        <v>3.0672642005939617</v>
      </c>
      <c r="M8" s="20"/>
      <c r="N8" s="236">
        <f>G8*WTPs!G15</f>
        <v>273.0968130101071</v>
      </c>
      <c r="O8" s="35"/>
      <c r="P8" s="64">
        <f>1-L8/$L$6</f>
        <v>0.16460883848041075</v>
      </c>
      <c r="Q8" s="65">
        <f>1-N8/$N$6</f>
        <v>-4.4642645194201025E-2</v>
      </c>
    </row>
    <row r="9" spans="1:17">
      <c r="A9" s="147" t="s">
        <v>305</v>
      </c>
      <c r="B9" s="22"/>
      <c r="C9" s="22" t="s">
        <v>328</v>
      </c>
      <c r="D9" s="30" t="str">
        <f t="shared" ref="D9:G10" si="0">D8</f>
        <v>worst</v>
      </c>
      <c r="E9" s="30">
        <f t="shared" si="0"/>
        <v>32</v>
      </c>
      <c r="F9" s="30" t="str">
        <f t="shared" si="0"/>
        <v>kWh/100km</v>
      </c>
      <c r="G9" s="30">
        <f t="shared" si="0"/>
        <v>1.1520000000000001</v>
      </c>
      <c r="H9" s="227"/>
      <c r="I9" s="77">
        <f>G9*WTPs!B16</f>
        <v>3.5452944483225166</v>
      </c>
      <c r="J9" s="77">
        <f>G9*WTPs!C16</f>
        <v>8.6532514341358269E-3</v>
      </c>
      <c r="K9" s="77">
        <f>WTPs!D16*'WTW-small EV'!G9</f>
        <v>4.7994974324313426E-2</v>
      </c>
      <c r="L9" s="80">
        <f>SUM(I9:K9)</f>
        <v>3.6019426740809659</v>
      </c>
      <c r="M9" s="20"/>
      <c r="N9" s="236">
        <f>G9*WTPs!G16</f>
        <v>329.64185483530349</v>
      </c>
      <c r="O9" s="35"/>
      <c r="P9" s="64">
        <f>1-L9/$L$6</f>
        <v>1.8985363685075307E-2</v>
      </c>
      <c r="Q9" s="65">
        <f>1-N9/$N$6</f>
        <v>-0.2609372310365623</v>
      </c>
    </row>
    <row r="10" spans="1:17">
      <c r="A10" s="147" t="s">
        <v>306</v>
      </c>
      <c r="B10" s="22"/>
      <c r="C10" s="22" t="s">
        <v>328</v>
      </c>
      <c r="D10" s="30" t="str">
        <f t="shared" si="0"/>
        <v>worst</v>
      </c>
      <c r="E10" s="30">
        <f t="shared" si="0"/>
        <v>32</v>
      </c>
      <c r="F10" s="30" t="str">
        <f t="shared" si="0"/>
        <v>kWh/100km</v>
      </c>
      <c r="G10" s="30">
        <f t="shared" si="0"/>
        <v>1.1520000000000001</v>
      </c>
      <c r="H10" s="227"/>
      <c r="I10" s="77">
        <f>G10*WTPs!B17</f>
        <v>2.3544660075608532</v>
      </c>
      <c r="J10" s="77">
        <f>G10*WTPs!C17</f>
        <v>6.027401461416621E-3</v>
      </c>
      <c r="K10" s="77">
        <f>WTPs!D17*'WTW-small EV'!G10</f>
        <v>3.2179001337554823E-2</v>
      </c>
      <c r="L10" s="80">
        <f>SUM(I10:K10)</f>
        <v>2.3926724103598245</v>
      </c>
      <c r="M10" s="20"/>
      <c r="N10" s="236">
        <f>G10*WTPs!G17</f>
        <v>220.66599759484413</v>
      </c>
      <c r="O10" s="35"/>
      <c r="P10" s="64">
        <f>1-L10/$L$6</f>
        <v>0.34833869751444713</v>
      </c>
      <c r="Q10" s="65">
        <f>1-N10/$N$6</f>
        <v>0.15591431151793067</v>
      </c>
    </row>
    <row r="11" spans="1:17">
      <c r="A11" s="147"/>
      <c r="B11" s="22"/>
      <c r="C11" s="22"/>
      <c r="D11" s="30"/>
      <c r="E11" s="30"/>
      <c r="F11" s="30"/>
      <c r="G11" s="30"/>
      <c r="H11" s="227"/>
      <c r="I11" s="77"/>
      <c r="J11" s="77"/>
      <c r="K11" s="77"/>
      <c r="L11" s="80"/>
      <c r="M11" s="20"/>
      <c r="N11" s="236"/>
      <c r="O11" s="35"/>
      <c r="P11" s="35"/>
      <c r="Q11" s="40"/>
    </row>
    <row r="12" spans="1:17">
      <c r="A12" s="147" t="s">
        <v>324</v>
      </c>
      <c r="B12" s="22"/>
      <c r="C12" s="22" t="s">
        <v>328</v>
      </c>
      <c r="D12" s="30" t="str">
        <f>D10</f>
        <v>worst</v>
      </c>
      <c r="E12" s="30">
        <f>E10</f>
        <v>32</v>
      </c>
      <c r="F12" s="30" t="str">
        <f>F10</f>
        <v>kWh/100km</v>
      </c>
      <c r="G12" s="30">
        <f>G10</f>
        <v>1.1520000000000001</v>
      </c>
      <c r="H12" s="227"/>
      <c r="I12" s="77">
        <f>G12*WTPs!B19</f>
        <v>0.20292265948832766</v>
      </c>
      <c r="J12" s="77">
        <f>G12*WTPs!C19</f>
        <v>1.5921666099388077E-3</v>
      </c>
      <c r="K12" s="77">
        <f>WTPs!D19*'WTW-small EV'!G12</f>
        <v>2.6831916144576237E-2</v>
      </c>
      <c r="L12" s="80">
        <f>SUM(I12:K12)</f>
        <v>0.23134674224284268</v>
      </c>
      <c r="M12" s="20"/>
      <c r="N12" s="236">
        <f>G12*WTPs!G19</f>
        <v>23.670160672796722</v>
      </c>
      <c r="O12" s="35"/>
      <c r="P12" s="64">
        <f>1-L12/$L$6</f>
        <v>0.93699107377884294</v>
      </c>
      <c r="Q12" s="65">
        <f>1-N12/$N$6</f>
        <v>0.90945753271574425</v>
      </c>
    </row>
    <row r="13" spans="1:17">
      <c r="A13" s="147" t="s">
        <v>325</v>
      </c>
      <c r="B13" s="22"/>
      <c r="C13" s="22" t="s">
        <v>328</v>
      </c>
      <c r="D13" s="30" t="str">
        <f t="shared" ref="D13:G14" si="1">D12</f>
        <v>worst</v>
      </c>
      <c r="E13" s="30">
        <f t="shared" si="1"/>
        <v>32</v>
      </c>
      <c r="F13" s="30" t="str">
        <f t="shared" si="1"/>
        <v>kWh/100km</v>
      </c>
      <c r="G13" s="30">
        <f t="shared" si="1"/>
        <v>1.1520000000000001</v>
      </c>
      <c r="H13" s="227"/>
      <c r="I13" s="77">
        <f>G13*WTPs!B20</f>
        <v>0.31969767740839289</v>
      </c>
      <c r="J13" s="77">
        <f>G13*WTPs!C20</f>
        <v>2.508403785600446E-3</v>
      </c>
      <c r="K13" s="77">
        <f>WTPs!D20*'WTW-small EV'!G13</f>
        <v>4.2272761915636156E-2</v>
      </c>
      <c r="L13" s="80">
        <f>SUM(I13:K13)</f>
        <v>0.36447884310962952</v>
      </c>
      <c r="M13" s="20"/>
      <c r="N13" s="236">
        <f>G13*WTPs!G20</f>
        <v>37.291524810770952</v>
      </c>
      <c r="O13" s="35"/>
      <c r="P13" s="64">
        <f>1-L13/$L$6</f>
        <v>0.90073160178516476</v>
      </c>
      <c r="Q13" s="65">
        <f>1-N13/$N$6</f>
        <v>0.85735345391889584</v>
      </c>
    </row>
    <row r="14" spans="1:17">
      <c r="A14" s="147" t="s">
        <v>326</v>
      </c>
      <c r="B14" s="22"/>
      <c r="C14" s="22" t="s">
        <v>328</v>
      </c>
      <c r="D14" s="30" t="str">
        <f t="shared" si="1"/>
        <v>worst</v>
      </c>
      <c r="E14" s="30">
        <f t="shared" si="1"/>
        <v>32</v>
      </c>
      <c r="F14" s="30" t="str">
        <f t="shared" si="1"/>
        <v>kWh/100km</v>
      </c>
      <c r="G14" s="30">
        <f t="shared" si="1"/>
        <v>1.1520000000000001</v>
      </c>
      <c r="H14" s="227"/>
      <c r="I14" s="77">
        <f>G14*WTPs!B21</f>
        <v>0.5904036101587804</v>
      </c>
      <c r="J14" s="77">
        <f>G14*WTPs!C21</f>
        <v>4.6324097902738642E-3</v>
      </c>
      <c r="K14" s="77">
        <f>WTPs!D21*'WTW-small EV'!G14</f>
        <v>7.8067477526563275E-2</v>
      </c>
      <c r="L14" s="80">
        <f>SUM(I14:K14)</f>
        <v>0.6731034974756176</v>
      </c>
      <c r="M14" s="20"/>
      <c r="N14" s="236">
        <f>G14*WTPs!G21</f>
        <v>68.868347918835681</v>
      </c>
      <c r="O14" s="35"/>
      <c r="P14" s="64">
        <f>1-L14/$L$6</f>
        <v>0.8166754880553927</v>
      </c>
      <c r="Q14" s="65">
        <f>1-N14/$N$6</f>
        <v>0.73656663237068054</v>
      </c>
    </row>
    <row r="15" spans="1:17">
      <c r="A15" s="147"/>
      <c r="B15" s="22"/>
      <c r="C15" s="22"/>
      <c r="D15" s="30"/>
      <c r="E15" s="30"/>
      <c r="F15" s="30"/>
      <c r="G15" s="30"/>
      <c r="H15" s="227"/>
      <c r="I15" s="77"/>
      <c r="J15" s="77"/>
      <c r="K15" s="77"/>
      <c r="L15" s="80"/>
      <c r="M15" s="20"/>
      <c r="N15" s="236"/>
      <c r="O15" s="35"/>
      <c r="P15" s="35"/>
      <c r="Q15" s="40"/>
    </row>
    <row r="16" spans="1:17">
      <c r="A16" s="147" t="s">
        <v>302</v>
      </c>
      <c r="B16" s="22"/>
      <c r="C16" s="22" t="str">
        <f>C17</f>
        <v>BEV</v>
      </c>
      <c r="D16" s="30" t="str">
        <f>D14</f>
        <v>worst</v>
      </c>
      <c r="E16" s="30">
        <f>E14</f>
        <v>32</v>
      </c>
      <c r="F16" s="30" t="str">
        <f>F14</f>
        <v>kWh/100km</v>
      </c>
      <c r="G16" s="30">
        <f>G14</f>
        <v>1.1520000000000001</v>
      </c>
      <c r="H16" s="227"/>
      <c r="I16" s="77">
        <f>G16*WTPs!B23</f>
        <v>3.6792399059849648</v>
      </c>
      <c r="J16" s="77">
        <f>G16*WTPs!C23</f>
        <v>9.3592973250863319E-3</v>
      </c>
      <c r="K16" s="77">
        <f>WTPs!D23*'WTW-small EV'!G16</f>
        <v>5.0592013277579229E-2</v>
      </c>
      <c r="L16" s="80">
        <f>SUM(I16:K16)</f>
        <v>3.7391912165876304</v>
      </c>
      <c r="M16" s="20"/>
      <c r="N16" s="236">
        <f>G16*WTPs!G23</f>
        <v>339.05800461026553</v>
      </c>
      <c r="O16" s="35"/>
      <c r="P16" s="64">
        <f>1-L16/$L$6</f>
        <v>-1.839525038765788E-2</v>
      </c>
      <c r="Q16" s="65">
        <f>1-N16/$N$6</f>
        <v>-0.29695563601185992</v>
      </c>
    </row>
    <row r="17" spans="1:17">
      <c r="A17" s="147" t="s">
        <v>303</v>
      </c>
      <c r="B17" s="22"/>
      <c r="C17" s="22" t="str">
        <f>C19</f>
        <v>BEV</v>
      </c>
      <c r="D17" s="30" t="str">
        <f>D16</f>
        <v>worst</v>
      </c>
      <c r="E17" s="30">
        <f>E16</f>
        <v>32</v>
      </c>
      <c r="F17" s="30" t="str">
        <f>F16</f>
        <v>kWh/100km</v>
      </c>
      <c r="G17" s="30">
        <f>G16</f>
        <v>1.1520000000000001</v>
      </c>
      <c r="H17" s="227"/>
      <c r="I17" s="77">
        <f>G17*WTPs!B24</f>
        <v>5.0338971318158299</v>
      </c>
      <c r="J17" s="77">
        <f>G17*WTPs!C24</f>
        <v>1.4444906285156415E-2</v>
      </c>
      <c r="K17" s="77">
        <f>WTPs!D24*'WTW-small EV'!G17</f>
        <v>6.9535980354066343E-2</v>
      </c>
      <c r="L17" s="80">
        <f>SUM(I17:K17)</f>
        <v>5.1178780184550527</v>
      </c>
      <c r="M17" s="20"/>
      <c r="N17" s="236">
        <f>G17*WTPs!G24</f>
        <v>118.53444828997647</v>
      </c>
      <c r="O17" s="35"/>
      <c r="P17" s="64">
        <f>1-L17/$L$6</f>
        <v>-0.39389038007382049</v>
      </c>
      <c r="Q17" s="65">
        <f>1-N17/$N$6</f>
        <v>0.54658518990591975</v>
      </c>
    </row>
    <row r="18" spans="1:17">
      <c r="A18" s="226"/>
      <c r="B18" s="22"/>
      <c r="C18" s="22"/>
      <c r="D18" s="30"/>
      <c r="E18" s="30"/>
      <c r="F18" s="227"/>
      <c r="G18" s="227"/>
      <c r="H18" s="227"/>
      <c r="I18" s="77"/>
      <c r="J18" s="77"/>
      <c r="K18" s="77"/>
      <c r="L18" s="80"/>
      <c r="M18" s="20"/>
      <c r="N18" s="236"/>
      <c r="O18" s="35"/>
      <c r="P18" s="35"/>
      <c r="Q18" s="40"/>
    </row>
    <row r="19" spans="1:17">
      <c r="A19" s="147" t="s">
        <v>104</v>
      </c>
      <c r="B19" s="239"/>
      <c r="C19" s="239" t="str">
        <f>Vehicle!B5</f>
        <v>BEV</v>
      </c>
      <c r="D19" s="228" t="s">
        <v>329</v>
      </c>
      <c r="E19" s="228">
        <f>Vehicle!D10</f>
        <v>32</v>
      </c>
      <c r="F19" s="96" t="str">
        <f>Vehicle!E5</f>
        <v>kWh/100km</v>
      </c>
      <c r="G19" s="96">
        <f>Vehicle!F10</f>
        <v>1.1520000000000001</v>
      </c>
      <c r="H19" s="96"/>
      <c r="I19" s="77">
        <f>G19*WTPs!B26</f>
        <v>2.9127315922380972</v>
      </c>
      <c r="J19" s="77">
        <f>G19*WTPs!C26</f>
        <v>7.4094437156933465E-3</v>
      </c>
      <c r="K19" s="77">
        <f>WTPs!D26*'WTW-small EV'!G19</f>
        <v>4.0052010511416887E-2</v>
      </c>
      <c r="L19" s="80">
        <f>SUM(I19:K19)</f>
        <v>2.9601930464652075</v>
      </c>
      <c r="M19" s="20"/>
      <c r="N19" s="236">
        <f>G19*WTPs!G26</f>
        <v>268.42092031646024</v>
      </c>
      <c r="O19" s="35"/>
      <c r="P19" s="64">
        <f>1-L19/$L$6</f>
        <v>0.19377042677643752</v>
      </c>
      <c r="Q19" s="65">
        <f>1-N19/$N$6</f>
        <v>-2.6756545176055857E-2</v>
      </c>
    </row>
    <row r="20" spans="1:17">
      <c r="A20" s="147" t="s">
        <v>109</v>
      </c>
      <c r="B20" s="239"/>
      <c r="C20" s="22" t="str">
        <f t="shared" ref="C20:G22" si="2">C19</f>
        <v>BEV</v>
      </c>
      <c r="D20" s="30" t="str">
        <f t="shared" si="2"/>
        <v>worst</v>
      </c>
      <c r="E20" s="30">
        <f t="shared" si="2"/>
        <v>32</v>
      </c>
      <c r="F20" s="227" t="str">
        <f t="shared" si="2"/>
        <v>kWh/100km</v>
      </c>
      <c r="G20" s="227">
        <f t="shared" si="2"/>
        <v>1.1520000000000001</v>
      </c>
      <c r="H20" s="227"/>
      <c r="I20" s="77">
        <f>G20*WTPs!B27</f>
        <v>3.7158293591398186</v>
      </c>
      <c r="J20" s="77">
        <f>G20*WTPs!C27</f>
        <v>1.0662674555895403E-2</v>
      </c>
      <c r="K20" s="77">
        <f>WTPs!D27*'WTW-small EV'!G20</f>
        <v>5.1328787726539218E-2</v>
      </c>
      <c r="L20" s="80">
        <f>SUM(I20:K20)</f>
        <v>3.7778208214222535</v>
      </c>
      <c r="M20" s="20"/>
      <c r="N20" s="236">
        <f>G20*WTPs!G27</f>
        <v>87.497573250261155</v>
      </c>
      <c r="O20" s="35"/>
      <c r="P20" s="64">
        <f>1-L20/$L$6</f>
        <v>-2.8916297268976265E-2</v>
      </c>
      <c r="Q20" s="65">
        <f>1-N20/$N$6</f>
        <v>0.66530661650436973</v>
      </c>
    </row>
    <row r="21" spans="1:17">
      <c r="A21" s="147" t="s">
        <v>107</v>
      </c>
      <c r="B21" s="239"/>
      <c r="C21" s="22" t="str">
        <f t="shared" si="2"/>
        <v>BEV</v>
      </c>
      <c r="D21" s="30" t="str">
        <f t="shared" si="2"/>
        <v>worst</v>
      </c>
      <c r="E21" s="30">
        <f t="shared" si="2"/>
        <v>32</v>
      </c>
      <c r="F21" s="227" t="str">
        <f t="shared" si="2"/>
        <v>kWh/100km</v>
      </c>
      <c r="G21" s="227">
        <f t="shared" si="2"/>
        <v>1.1520000000000001</v>
      </c>
      <c r="H21" s="227"/>
      <c r="I21" s="77">
        <f>G21*WTPs!B28</f>
        <v>3.2876376387637931</v>
      </c>
      <c r="J21" s="77">
        <f>G21*WTPs!C28</f>
        <v>8.3631344909806098E-3</v>
      </c>
      <c r="K21" s="77">
        <f>WTPs!D28*'WTW-small EV'!G21</f>
        <v>4.5207219785163615E-2</v>
      </c>
      <c r="L21" s="80">
        <f>SUM(I21:K21)</f>
        <v>3.3412079930399372</v>
      </c>
      <c r="M21" s="20"/>
      <c r="N21" s="236">
        <f>G21*WTPs!G28</f>
        <v>302.97014768392546</v>
      </c>
      <c r="O21" s="35"/>
      <c r="P21" s="64">
        <f>1-L21/$L$6</f>
        <v>8.9998303490236409E-2</v>
      </c>
      <c r="Q21" s="65">
        <f>1-N21/$N$6</f>
        <v>-0.15891332821851867</v>
      </c>
    </row>
    <row r="22" spans="1:17">
      <c r="A22" s="147" t="s">
        <v>111</v>
      </c>
      <c r="B22" s="239"/>
      <c r="C22" s="22" t="str">
        <f t="shared" si="2"/>
        <v>BEV</v>
      </c>
      <c r="D22" s="30" t="str">
        <f t="shared" si="2"/>
        <v>worst</v>
      </c>
      <c r="E22" s="30">
        <f t="shared" si="2"/>
        <v>32</v>
      </c>
      <c r="F22" s="227" t="str">
        <f t="shared" si="2"/>
        <v>kWh/100km</v>
      </c>
      <c r="G22" s="227">
        <f t="shared" si="2"/>
        <v>1.1520000000000001</v>
      </c>
      <c r="H22" s="227"/>
      <c r="I22" s="77">
        <f>G22*WTPs!B29</f>
        <v>4.0662377391031521</v>
      </c>
      <c r="J22" s="77">
        <f>G22*WTPs!C29</f>
        <v>1.1609560961251333E-2</v>
      </c>
      <c r="K22" s="77">
        <f>WTPs!D29*'WTW-small EV'!G22</f>
        <v>5.61578543171408E-2</v>
      </c>
      <c r="L22" s="80">
        <f>SUM(I22:K22)</f>
        <v>4.1340051543815441</v>
      </c>
      <c r="M22" s="20"/>
      <c r="N22" s="236">
        <f>G22*WTPs!G29</f>
        <v>108.09620037892232</v>
      </c>
      <c r="O22" s="35"/>
      <c r="P22" s="64">
        <f>1-L22/$L$6</f>
        <v>-0.12592562681037078</v>
      </c>
      <c r="Q22" s="65">
        <f>1-N22/$N$6</f>
        <v>0.58651329741039249</v>
      </c>
    </row>
    <row r="23" spans="1:17" s="154" customFormat="1">
      <c r="A23" s="167"/>
      <c r="B23" s="168"/>
      <c r="C23" s="168"/>
      <c r="D23" s="229"/>
      <c r="E23" s="229"/>
      <c r="F23" s="230"/>
      <c r="G23" s="230"/>
      <c r="H23" s="230"/>
      <c r="I23" s="168"/>
      <c r="J23" s="168"/>
      <c r="K23" s="168"/>
      <c r="L23" s="169"/>
      <c r="N23" s="237"/>
      <c r="O23" s="168"/>
      <c r="P23" s="168"/>
      <c r="Q23" s="169"/>
    </row>
    <row r="24" spans="1:17">
      <c r="A24" s="147" t="s">
        <v>304</v>
      </c>
      <c r="B24" s="22"/>
      <c r="C24" s="22" t="s">
        <v>328</v>
      </c>
      <c r="D24" s="30" t="str">
        <f>D35</f>
        <v>best</v>
      </c>
      <c r="E24" s="30">
        <f>E35</f>
        <v>20</v>
      </c>
      <c r="F24" s="30" t="str">
        <f>F35</f>
        <v>kWh/100km</v>
      </c>
      <c r="G24" s="30">
        <f>G35</f>
        <v>0.72</v>
      </c>
      <c r="H24" s="227"/>
      <c r="I24" s="77">
        <f>G24*WTPs!B15</f>
        <v>1.7332725405057348</v>
      </c>
      <c r="J24" s="77">
        <f>G24*WTPs!C15</f>
        <v>0.13476844235176169</v>
      </c>
      <c r="K24" s="77">
        <f>WTPs!D15*'WTW-small EV'!G24</f>
        <v>4.8999142513729145E-2</v>
      </c>
      <c r="L24" s="80">
        <f>SUM(I24:K24)</f>
        <v>1.9170401253712255</v>
      </c>
      <c r="M24" s="20"/>
      <c r="N24" s="236">
        <f>G24*WTPs!G15</f>
        <v>170.68550813131688</v>
      </c>
      <c r="O24" s="35"/>
      <c r="P24" s="64">
        <f>1-L24/$L$6</f>
        <v>0.47788052405025683</v>
      </c>
      <c r="Q24" s="65">
        <f>1-N24/$N$6</f>
        <v>0.3470983467536245</v>
      </c>
    </row>
    <row r="25" spans="1:17">
      <c r="A25" s="147" t="s">
        <v>305</v>
      </c>
      <c r="B25" s="22"/>
      <c r="C25" s="22" t="s">
        <v>328</v>
      </c>
      <c r="D25" s="30" t="str">
        <f t="shared" ref="D25:G26" si="3">D24</f>
        <v>best</v>
      </c>
      <c r="E25" s="30">
        <f t="shared" si="3"/>
        <v>20</v>
      </c>
      <c r="F25" s="30" t="str">
        <f t="shared" si="3"/>
        <v>kWh/100km</v>
      </c>
      <c r="G25" s="30">
        <f t="shared" si="3"/>
        <v>0.72</v>
      </c>
      <c r="H25" s="227"/>
      <c r="I25" s="77">
        <f>G25*WTPs!B16</f>
        <v>2.2158090302015725</v>
      </c>
      <c r="J25" s="77">
        <f>G25*WTPs!C16</f>
        <v>5.4082821463348908E-3</v>
      </c>
      <c r="K25" s="77">
        <f>WTPs!D16*'WTW-small EV'!G25</f>
        <v>2.9996858952695885E-2</v>
      </c>
      <c r="L25" s="80">
        <f t="shared" ref="L25:L33" si="4">SUM(I25:K25)</f>
        <v>2.2512141713006031</v>
      </c>
      <c r="M25" s="20"/>
      <c r="N25" s="236">
        <f>G25*WTPs!G16</f>
        <v>206.02615927206463</v>
      </c>
      <c r="O25" s="35"/>
      <c r="P25" s="64">
        <f t="shared" ref="P25:P33" si="5">1-L25/$L$6</f>
        <v>0.38686585230317216</v>
      </c>
      <c r="Q25" s="65">
        <f t="shared" ref="Q25:Q33" si="6">1-N25/$N$6</f>
        <v>0.21191423060214876</v>
      </c>
    </row>
    <row r="26" spans="1:17">
      <c r="A26" s="147" t="s">
        <v>306</v>
      </c>
      <c r="B26" s="22"/>
      <c r="C26" s="22" t="s">
        <v>328</v>
      </c>
      <c r="D26" s="30" t="str">
        <f t="shared" si="3"/>
        <v>best</v>
      </c>
      <c r="E26" s="30">
        <f t="shared" si="3"/>
        <v>20</v>
      </c>
      <c r="F26" s="30" t="str">
        <f t="shared" si="3"/>
        <v>kWh/100km</v>
      </c>
      <c r="G26" s="30">
        <f t="shared" si="3"/>
        <v>0.72</v>
      </c>
      <c r="H26" s="227"/>
      <c r="I26" s="77">
        <f>G26*WTPs!B17</f>
        <v>1.4715412547255331</v>
      </c>
      <c r="J26" s="77">
        <f>G26*WTPs!C17</f>
        <v>3.7671259133853874E-3</v>
      </c>
      <c r="K26" s="77">
        <f>WTPs!D17*'WTW-small EV'!G26</f>
        <v>2.0111875835971762E-2</v>
      </c>
      <c r="L26" s="80">
        <f t="shared" si="4"/>
        <v>1.4954202564748902</v>
      </c>
      <c r="M26" s="20"/>
      <c r="N26" s="236">
        <f>G26*WTPs!G17</f>
        <v>137.91624849677754</v>
      </c>
      <c r="O26" s="35"/>
      <c r="P26" s="64">
        <f t="shared" si="5"/>
        <v>0.59271168594652945</v>
      </c>
      <c r="Q26" s="65">
        <f t="shared" si="6"/>
        <v>0.47244644469870689</v>
      </c>
    </row>
    <row r="27" spans="1:17">
      <c r="A27" s="147"/>
      <c r="B27" s="22"/>
      <c r="C27" s="22"/>
      <c r="D27" s="30"/>
      <c r="E27" s="30"/>
      <c r="F27" s="30"/>
      <c r="G27" s="30"/>
      <c r="H27" s="227"/>
      <c r="I27" s="77"/>
      <c r="J27" s="77"/>
      <c r="K27" s="77"/>
      <c r="L27" s="80"/>
      <c r="M27" s="20"/>
      <c r="N27" s="236"/>
      <c r="O27" s="35"/>
      <c r="P27" s="64"/>
      <c r="Q27" s="65"/>
    </row>
    <row r="28" spans="1:17">
      <c r="A28" s="147" t="s">
        <v>324</v>
      </c>
      <c r="B28" s="22"/>
      <c r="C28" s="22" t="s">
        <v>328</v>
      </c>
      <c r="D28" s="30" t="str">
        <f>D26</f>
        <v>best</v>
      </c>
      <c r="E28" s="30">
        <f>E26</f>
        <v>20</v>
      </c>
      <c r="F28" s="30" t="str">
        <f>F26</f>
        <v>kWh/100km</v>
      </c>
      <c r="G28" s="30">
        <f>G26</f>
        <v>0.72</v>
      </c>
      <c r="H28" s="227"/>
      <c r="I28" s="77">
        <f>G28*WTPs!B19</f>
        <v>0.12682666218020477</v>
      </c>
      <c r="J28" s="77">
        <f>G28*WTPs!C19</f>
        <v>9.951041312117547E-4</v>
      </c>
      <c r="K28" s="77">
        <f>WTPs!D19*'WTW-small EV'!G28</f>
        <v>1.6769947590360147E-2</v>
      </c>
      <c r="L28" s="80">
        <f t="shared" si="4"/>
        <v>0.14459171390177669</v>
      </c>
      <c r="M28" s="20"/>
      <c r="N28" s="236">
        <f>G28*WTPs!G19</f>
        <v>14.793850420497948</v>
      </c>
      <c r="O28" s="35"/>
      <c r="P28" s="64">
        <f t="shared" si="5"/>
        <v>0.96061942111177678</v>
      </c>
      <c r="Q28" s="65">
        <f t="shared" si="6"/>
        <v>0.9434109579473402</v>
      </c>
    </row>
    <row r="29" spans="1:17">
      <c r="A29" s="147" t="s">
        <v>325</v>
      </c>
      <c r="B29" s="22"/>
      <c r="C29" s="22" t="s">
        <v>328</v>
      </c>
      <c r="D29" s="30" t="str">
        <f t="shared" ref="D29:G30" si="7">D28</f>
        <v>best</v>
      </c>
      <c r="E29" s="30">
        <f t="shared" si="7"/>
        <v>20</v>
      </c>
      <c r="F29" s="30" t="str">
        <f t="shared" si="7"/>
        <v>kWh/100km</v>
      </c>
      <c r="G29" s="30">
        <f t="shared" si="7"/>
        <v>0.72</v>
      </c>
      <c r="H29" s="227"/>
      <c r="I29" s="77">
        <f>G29*WTPs!B20</f>
        <v>0.19981104838024552</v>
      </c>
      <c r="J29" s="77">
        <f>G29*WTPs!C20</f>
        <v>1.5677523660002786E-3</v>
      </c>
      <c r="K29" s="77">
        <f>WTPs!D20*'WTW-small EV'!G29</f>
        <v>2.6420476197272596E-2</v>
      </c>
      <c r="L29" s="80">
        <f t="shared" si="4"/>
        <v>0.2277992769435184</v>
      </c>
      <c r="M29" s="20"/>
      <c r="N29" s="236">
        <f>G29*WTPs!G20</f>
        <v>23.307203006731843</v>
      </c>
      <c r="O29" s="35"/>
      <c r="P29" s="64">
        <f t="shared" si="5"/>
        <v>0.93795725111572803</v>
      </c>
      <c r="Q29" s="65">
        <f t="shared" si="6"/>
        <v>0.91084590869930993</v>
      </c>
    </row>
    <row r="30" spans="1:17">
      <c r="A30" s="147" t="s">
        <v>326</v>
      </c>
      <c r="B30" s="22"/>
      <c r="C30" s="22" t="s">
        <v>328</v>
      </c>
      <c r="D30" s="30" t="str">
        <f t="shared" si="7"/>
        <v>best</v>
      </c>
      <c r="E30" s="30">
        <f t="shared" si="7"/>
        <v>20</v>
      </c>
      <c r="F30" s="30" t="str">
        <f t="shared" si="7"/>
        <v>kWh/100km</v>
      </c>
      <c r="G30" s="30">
        <f t="shared" si="7"/>
        <v>0.72</v>
      </c>
      <c r="H30" s="227"/>
      <c r="I30" s="77">
        <f>G30*WTPs!B21</f>
        <v>0.36900225634923772</v>
      </c>
      <c r="J30" s="77">
        <f>G30*WTPs!C21</f>
        <v>2.8952561189211647E-3</v>
      </c>
      <c r="K30" s="77">
        <f>WTPs!D21*'WTW-small EV'!G30</f>
        <v>4.8792173454102042E-2</v>
      </c>
      <c r="L30" s="80">
        <f t="shared" si="4"/>
        <v>0.42068968592226091</v>
      </c>
      <c r="M30" s="20"/>
      <c r="N30" s="236">
        <f>G30*WTPs!G21</f>
        <v>43.042717449272295</v>
      </c>
      <c r="O30" s="35"/>
      <c r="P30" s="64">
        <f t="shared" si="5"/>
        <v>0.88542218003462048</v>
      </c>
      <c r="Q30" s="65">
        <f t="shared" si="6"/>
        <v>0.83535414523167539</v>
      </c>
    </row>
    <row r="31" spans="1:17">
      <c r="A31" s="147"/>
      <c r="B31" s="22"/>
      <c r="C31" s="22"/>
      <c r="D31" s="30"/>
      <c r="E31" s="30"/>
      <c r="F31" s="30"/>
      <c r="G31" s="30"/>
      <c r="H31" s="227"/>
      <c r="I31" s="77"/>
      <c r="J31" s="77"/>
      <c r="K31" s="77"/>
      <c r="L31" s="80"/>
      <c r="M31" s="20"/>
      <c r="N31" s="236"/>
      <c r="O31" s="35"/>
      <c r="P31" s="64"/>
      <c r="Q31" s="65"/>
    </row>
    <row r="32" spans="1:17">
      <c r="A32" s="147" t="s">
        <v>302</v>
      </c>
      <c r="B32" s="22"/>
      <c r="C32" s="22" t="str">
        <f>C33</f>
        <v>BEV</v>
      </c>
      <c r="D32" s="30" t="str">
        <f>D30</f>
        <v>best</v>
      </c>
      <c r="E32" s="30">
        <f>E30</f>
        <v>20</v>
      </c>
      <c r="F32" s="30" t="str">
        <f>F30</f>
        <v>kWh/100km</v>
      </c>
      <c r="G32" s="30">
        <f>G30</f>
        <v>0.72</v>
      </c>
      <c r="H32" s="227"/>
      <c r="I32" s="77">
        <f>G32*WTPs!B23</f>
        <v>2.2995249412406027</v>
      </c>
      <c r="J32" s="77">
        <f>G32*WTPs!C23</f>
        <v>5.849560828178957E-3</v>
      </c>
      <c r="K32" s="77">
        <f>WTPs!D23*'WTW-small EV'!G32</f>
        <v>3.1620008298487011E-2</v>
      </c>
      <c r="L32" s="80">
        <f t="shared" si="4"/>
        <v>2.3369945103672687</v>
      </c>
      <c r="M32" s="20"/>
      <c r="N32" s="236">
        <f>G32*WTPs!G23</f>
        <v>211.91125288141595</v>
      </c>
      <c r="O32" s="35"/>
      <c r="P32" s="64">
        <f t="shared" si="5"/>
        <v>0.36350296850771391</v>
      </c>
      <c r="Q32" s="65">
        <f t="shared" si="6"/>
        <v>0.18940272749258769</v>
      </c>
    </row>
    <row r="33" spans="1:17">
      <c r="A33" s="147" t="s">
        <v>303</v>
      </c>
      <c r="B33" s="22"/>
      <c r="C33" s="22" t="str">
        <f>C35</f>
        <v>BEV</v>
      </c>
      <c r="D33" s="30" t="str">
        <f>D32</f>
        <v>best</v>
      </c>
      <c r="E33" s="30">
        <f>E32</f>
        <v>20</v>
      </c>
      <c r="F33" s="30" t="str">
        <f>F32</f>
        <v>kWh/100km</v>
      </c>
      <c r="G33" s="30">
        <f>G32</f>
        <v>0.72</v>
      </c>
      <c r="H33" s="227"/>
      <c r="I33" s="77">
        <f>G33*WTPs!B24</f>
        <v>3.1461857073848933</v>
      </c>
      <c r="J33" s="77">
        <f>G33*WTPs!C24</f>
        <v>9.0280664282227571E-3</v>
      </c>
      <c r="K33" s="77">
        <f>WTPs!D24*'WTW-small EV'!G33</f>
        <v>4.3459987721291463E-2</v>
      </c>
      <c r="L33" s="80">
        <f t="shared" si="4"/>
        <v>3.1986737615344074</v>
      </c>
      <c r="M33" s="20"/>
      <c r="N33" s="236">
        <f>G33*WTPs!G24</f>
        <v>74.084030181235278</v>
      </c>
      <c r="O33" s="35"/>
      <c r="P33" s="64">
        <f t="shared" si="5"/>
        <v>0.12881851245386233</v>
      </c>
      <c r="Q33" s="65">
        <f t="shared" si="6"/>
        <v>0.71661574369119996</v>
      </c>
    </row>
    <row r="34" spans="1:17">
      <c r="A34" s="147"/>
      <c r="B34" s="22"/>
      <c r="C34" s="22"/>
      <c r="D34" s="30"/>
      <c r="E34" s="30"/>
      <c r="F34" s="227"/>
      <c r="G34" s="227"/>
      <c r="H34" s="227"/>
      <c r="I34" s="77"/>
      <c r="J34" s="77"/>
      <c r="K34" s="77"/>
      <c r="L34" s="80"/>
      <c r="M34" s="20"/>
      <c r="N34" s="236"/>
      <c r="O34" s="35"/>
      <c r="P34" s="35"/>
      <c r="Q34" s="40"/>
    </row>
    <row r="35" spans="1:17">
      <c r="A35" s="39" t="s">
        <v>141</v>
      </c>
      <c r="B35" s="35"/>
      <c r="C35" s="35" t="str">
        <f>C22</f>
        <v>BEV</v>
      </c>
      <c r="D35" s="228" t="s">
        <v>330</v>
      </c>
      <c r="E35" s="228">
        <f>Vehicle!D11</f>
        <v>20</v>
      </c>
      <c r="F35" s="35" t="str">
        <f>Vehicle!E6</f>
        <v>kWh/100km</v>
      </c>
      <c r="G35" s="35">
        <f>Vehicle!F11</f>
        <v>0.72</v>
      </c>
      <c r="H35" s="97"/>
      <c r="I35" s="77">
        <f>G35*WTPs!B26</f>
        <v>1.8204572451488106</v>
      </c>
      <c r="J35" s="77">
        <f>G35*WTPs!C26</f>
        <v>4.6309023223083407E-3</v>
      </c>
      <c r="K35" s="77">
        <f>WTPs!D26*'WTW-small EV'!G35</f>
        <v>2.503250656963555E-2</v>
      </c>
      <c r="L35" s="80">
        <f>SUM(I35:K35)</f>
        <v>1.8501206540407544</v>
      </c>
      <c r="M35" s="20"/>
      <c r="N35" s="236">
        <f>G35*WTPs!G26</f>
        <v>167.76307519778763</v>
      </c>
      <c r="O35" s="35"/>
      <c r="P35" s="64">
        <f>1-L35/$L$6</f>
        <v>0.49610651673527351</v>
      </c>
      <c r="Q35" s="65">
        <f>1-N35/$N$6</f>
        <v>0.35827715926496517</v>
      </c>
    </row>
    <row r="36" spans="1:17">
      <c r="A36" s="39" t="s">
        <v>108</v>
      </c>
      <c r="B36" s="35"/>
      <c r="C36" s="35" t="str">
        <f t="shared" ref="C36:G38" si="8">C35</f>
        <v>BEV</v>
      </c>
      <c r="D36" s="94" t="str">
        <f t="shared" si="8"/>
        <v>best</v>
      </c>
      <c r="E36" s="94">
        <f t="shared" si="8"/>
        <v>20</v>
      </c>
      <c r="F36" s="97" t="str">
        <f t="shared" si="8"/>
        <v>kWh/100km</v>
      </c>
      <c r="G36" s="97">
        <f t="shared" si="8"/>
        <v>0.72</v>
      </c>
      <c r="H36" s="97"/>
      <c r="I36" s="77">
        <f>G36*WTPs!B27</f>
        <v>2.3223933494623865</v>
      </c>
      <c r="J36" s="77">
        <f>G36*WTPs!C27</f>
        <v>6.6641715974346261E-3</v>
      </c>
      <c r="K36" s="77">
        <f>WTPs!D27*'WTW-small EV'!G36</f>
        <v>3.208049232908701E-2</v>
      </c>
      <c r="L36" s="80">
        <f>SUM(I36:K36)</f>
        <v>2.3611380133889082</v>
      </c>
      <c r="M36" s="20"/>
      <c r="N36" s="236">
        <f>G36*WTPs!G27</f>
        <v>54.685983281413215</v>
      </c>
      <c r="O36" s="35"/>
      <c r="P36" s="64">
        <f>1-L36/$L$6</f>
        <v>0.35692731420688995</v>
      </c>
      <c r="Q36" s="65">
        <f>1-N36/$N$6</f>
        <v>0.79081663531523116</v>
      </c>
    </row>
    <row r="37" spans="1:17">
      <c r="A37" s="39" t="s">
        <v>22</v>
      </c>
      <c r="B37" s="35"/>
      <c r="C37" s="35" t="str">
        <f t="shared" si="8"/>
        <v>BEV</v>
      </c>
      <c r="D37" s="94" t="str">
        <f t="shared" si="8"/>
        <v>best</v>
      </c>
      <c r="E37" s="94">
        <f t="shared" si="8"/>
        <v>20</v>
      </c>
      <c r="F37" s="97" t="str">
        <f t="shared" si="8"/>
        <v>kWh/100km</v>
      </c>
      <c r="G37" s="97">
        <f t="shared" si="8"/>
        <v>0.72</v>
      </c>
      <c r="H37" s="97"/>
      <c r="I37" s="77">
        <f>G37*WTPs!B28</f>
        <v>2.0547735242273704</v>
      </c>
      <c r="J37" s="77">
        <f>G37*WTPs!C28</f>
        <v>5.2269590568628805E-3</v>
      </c>
      <c r="K37" s="77">
        <f>WTPs!D28*'WTW-small EV'!G37</f>
        <v>2.8254512365727256E-2</v>
      </c>
      <c r="L37" s="80">
        <f>SUM(I37:K37)</f>
        <v>2.0882549956499603</v>
      </c>
      <c r="M37" s="20"/>
      <c r="N37" s="236">
        <f>G37*WTPs!G28</f>
        <v>189.35634230245336</v>
      </c>
      <c r="O37" s="35"/>
      <c r="P37" s="64">
        <f>1-L37/$L$6</f>
        <v>0.43124893968139788</v>
      </c>
      <c r="Q37" s="65">
        <f>1-N37/$N$6</f>
        <v>0.27567916986342611</v>
      </c>
    </row>
    <row r="38" spans="1:17" ht="14.25" thickBot="1">
      <c r="A38" s="41" t="s">
        <v>110</v>
      </c>
      <c r="B38" s="42"/>
      <c r="C38" s="42" t="str">
        <f t="shared" si="8"/>
        <v>BEV</v>
      </c>
      <c r="D38" s="231" t="str">
        <f t="shared" si="8"/>
        <v>best</v>
      </c>
      <c r="E38" s="231">
        <f t="shared" si="8"/>
        <v>20</v>
      </c>
      <c r="F38" s="232" t="str">
        <f t="shared" si="8"/>
        <v>kWh/100km</v>
      </c>
      <c r="G38" s="232">
        <f t="shared" si="8"/>
        <v>0.72</v>
      </c>
      <c r="H38" s="232"/>
      <c r="I38" s="78">
        <f>G38*WTPs!B29</f>
        <v>2.5413985869394695</v>
      </c>
      <c r="J38" s="78">
        <f>G38*WTPs!C29</f>
        <v>7.2559756007820825E-3</v>
      </c>
      <c r="K38" s="78">
        <f>WTPs!D29*'WTW-small EV'!G38</f>
        <v>3.5098658948212999E-2</v>
      </c>
      <c r="L38" s="81">
        <f>SUM(I38:K38)</f>
        <v>2.5837532214884646</v>
      </c>
      <c r="M38" s="20"/>
      <c r="N38" s="238">
        <f>G38*WTPs!G29</f>
        <v>67.560125236826437</v>
      </c>
      <c r="O38" s="35"/>
      <c r="P38" s="64">
        <f>1-L38/$L$6</f>
        <v>0.29629648324351832</v>
      </c>
      <c r="Q38" s="65">
        <f>1-N38/$N$6</f>
        <v>0.74157081088149535</v>
      </c>
    </row>
    <row r="39" spans="1:17">
      <c r="O39" s="39"/>
      <c r="P39" s="35"/>
      <c r="Q39" s="40"/>
    </row>
    <row r="40" spans="1:17">
      <c r="O40" s="39"/>
      <c r="P40" s="35"/>
      <c r="Q40" s="40"/>
    </row>
    <row r="41" spans="1:17">
      <c r="C41" s="87" t="s">
        <v>164</v>
      </c>
      <c r="D41" s="88" t="s">
        <v>165</v>
      </c>
      <c r="E41" s="89" t="str">
        <f>L3</f>
        <v>total EF</v>
      </c>
      <c r="F41" s="90" t="str">
        <f>N3</f>
        <v>total GHG</v>
      </c>
      <c r="G41" s="91" t="s">
        <v>167</v>
      </c>
      <c r="H41" s="92" t="s">
        <v>168</v>
      </c>
      <c r="O41" s="147" t="s">
        <v>144</v>
      </c>
      <c r="P41" s="239" t="s">
        <v>145</v>
      </c>
      <c r="Q41" s="148" t="s">
        <v>146</v>
      </c>
    </row>
    <row r="42" spans="1:17" ht="14.25" thickBot="1">
      <c r="C42" s="93"/>
      <c r="D42" s="94"/>
      <c r="E42" s="228" t="s">
        <v>169</v>
      </c>
      <c r="F42" s="96" t="s">
        <v>170</v>
      </c>
      <c r="G42" s="97"/>
      <c r="H42" s="98"/>
      <c r="O42" s="149" t="s">
        <v>147</v>
      </c>
      <c r="P42" s="56" t="s">
        <v>148</v>
      </c>
      <c r="Q42" s="173" t="s">
        <v>149</v>
      </c>
    </row>
    <row r="43" spans="1:17">
      <c r="C43" s="113" t="str">
        <f>A6</f>
        <v>Gasoline</v>
      </c>
      <c r="D43" s="114" t="str">
        <f>C6</f>
        <v>gasoline vehicle</v>
      </c>
      <c r="E43" s="115">
        <f>L6</f>
        <v>3.6716502901641443</v>
      </c>
      <c r="F43" s="116">
        <f>N6</f>
        <v>261.4260620763169</v>
      </c>
      <c r="G43" s="114"/>
      <c r="H43" s="117"/>
    </row>
    <row r="44" spans="1:17">
      <c r="C44" s="93"/>
      <c r="D44" s="35"/>
      <c r="E44" s="77"/>
      <c r="F44" s="99"/>
      <c r="G44" s="35"/>
      <c r="H44" s="84"/>
    </row>
    <row r="45" spans="1:17">
      <c r="C45" s="107" t="str">
        <f>A19</f>
        <v>coal to power</v>
      </c>
      <c r="D45" s="108" t="str">
        <f>C19</f>
        <v>BEV</v>
      </c>
      <c r="E45" s="109">
        <f>L19</f>
        <v>2.9601930464652075</v>
      </c>
      <c r="F45" s="110">
        <f>N19</f>
        <v>268.42092031646024</v>
      </c>
      <c r="G45" s="111">
        <f t="shared" ref="G45:H48" si="9">P19</f>
        <v>0.19377042677643752</v>
      </c>
      <c r="H45" s="112">
        <f t="shared" si="9"/>
        <v>-2.6756545176055857E-2</v>
      </c>
    </row>
    <row r="46" spans="1:17">
      <c r="C46" s="93" t="str">
        <f>A20</f>
        <v>cte+CCS</v>
      </c>
      <c r="D46" s="35" t="str">
        <f>C20</f>
        <v>BEV</v>
      </c>
      <c r="E46" s="77">
        <f>L20</f>
        <v>3.7778208214222535</v>
      </c>
      <c r="F46" s="99">
        <f>N20</f>
        <v>87.497573250261155</v>
      </c>
      <c r="G46" s="64">
        <f t="shared" si="9"/>
        <v>-2.8916297268976265E-2</v>
      </c>
      <c r="H46" s="100">
        <f t="shared" si="9"/>
        <v>0.66530661650436973</v>
      </c>
    </row>
    <row r="47" spans="1:17">
      <c r="C47" s="93" t="str">
        <f>A21</f>
        <v>IGCC</v>
      </c>
      <c r="D47" s="35" t="str">
        <f>C21</f>
        <v>BEV</v>
      </c>
      <c r="E47" s="77">
        <f>L21</f>
        <v>3.3412079930399372</v>
      </c>
      <c r="F47" s="99">
        <f>N21</f>
        <v>302.97014768392546</v>
      </c>
      <c r="G47" s="64">
        <f t="shared" si="9"/>
        <v>8.9998303490236409E-2</v>
      </c>
      <c r="H47" s="100">
        <f t="shared" si="9"/>
        <v>-0.15891332821851867</v>
      </c>
    </row>
    <row r="48" spans="1:17">
      <c r="C48" s="101" t="str">
        <f>A22</f>
        <v>IGCC+CCS</v>
      </c>
      <c r="D48" s="102" t="str">
        <f>C22</f>
        <v>BEV</v>
      </c>
      <c r="E48" s="103">
        <f>L22</f>
        <v>4.1340051543815441</v>
      </c>
      <c r="F48" s="104">
        <f>N22</f>
        <v>108.09620037892232</v>
      </c>
      <c r="G48" s="105">
        <f t="shared" si="9"/>
        <v>-0.12592562681037078</v>
      </c>
      <c r="H48" s="106">
        <f t="shared" si="9"/>
        <v>0.58651329741039249</v>
      </c>
    </row>
    <row r="49" spans="3:8">
      <c r="C49" s="93"/>
      <c r="D49" s="35"/>
      <c r="E49" s="77"/>
      <c r="F49" s="99"/>
      <c r="G49" s="35"/>
      <c r="H49" s="84"/>
    </row>
    <row r="50" spans="3:8">
      <c r="C50" s="107" t="str">
        <f>A35</f>
        <v>coal to power</v>
      </c>
      <c r="D50" s="108" t="str">
        <f>C35</f>
        <v>BEV</v>
      </c>
      <c r="E50" s="109">
        <f>L35</f>
        <v>1.8501206540407544</v>
      </c>
      <c r="F50" s="110">
        <f>N35</f>
        <v>167.76307519778763</v>
      </c>
      <c r="G50" s="111">
        <f t="shared" ref="G50:H53" si="10">P35</f>
        <v>0.49610651673527351</v>
      </c>
      <c r="H50" s="112">
        <f t="shared" si="10"/>
        <v>0.35827715926496517</v>
      </c>
    </row>
    <row r="51" spans="3:8">
      <c r="C51" s="93" t="str">
        <f>A36</f>
        <v>cte+CCS</v>
      </c>
      <c r="D51" s="35" t="str">
        <f>C36</f>
        <v>BEV</v>
      </c>
      <c r="E51" s="77">
        <f>L36</f>
        <v>2.3611380133889082</v>
      </c>
      <c r="F51" s="99">
        <f>N36</f>
        <v>54.685983281413215</v>
      </c>
      <c r="G51" s="64">
        <f t="shared" si="10"/>
        <v>0.35692731420688995</v>
      </c>
      <c r="H51" s="100">
        <f t="shared" si="10"/>
        <v>0.79081663531523116</v>
      </c>
    </row>
    <row r="52" spans="3:8">
      <c r="C52" s="93" t="str">
        <f>A37</f>
        <v>IGCC</v>
      </c>
      <c r="D52" s="35" t="str">
        <f>C37</f>
        <v>BEV</v>
      </c>
      <c r="E52" s="77">
        <f>L37</f>
        <v>2.0882549956499603</v>
      </c>
      <c r="F52" s="99">
        <f>N37</f>
        <v>189.35634230245336</v>
      </c>
      <c r="G52" s="64">
        <f t="shared" si="10"/>
        <v>0.43124893968139788</v>
      </c>
      <c r="H52" s="100">
        <f t="shared" si="10"/>
        <v>0.27567916986342611</v>
      </c>
    </row>
    <row r="53" spans="3:8">
      <c r="C53" s="101" t="str">
        <f>A38</f>
        <v>IGCC+CCS</v>
      </c>
      <c r="D53" s="102" t="str">
        <f>C38</f>
        <v>BEV</v>
      </c>
      <c r="E53" s="103">
        <f>L38</f>
        <v>2.5837532214884646</v>
      </c>
      <c r="F53" s="104">
        <f>N38</f>
        <v>67.560125236826437</v>
      </c>
      <c r="G53" s="105">
        <f t="shared" si="10"/>
        <v>0.29629648324351832</v>
      </c>
      <c r="H53" s="106">
        <f t="shared" si="10"/>
        <v>0.74157081088149535</v>
      </c>
    </row>
  </sheetData>
  <phoneticPr fontId="3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36"/>
  <sheetViews>
    <sheetView workbookViewId="0">
      <pane xSplit="1" topLeftCell="B1" activePane="topRight" state="frozen"/>
      <selection activeCell="J25" sqref="J25"/>
      <selection pane="topRight" activeCell="J25" sqref="J25"/>
    </sheetView>
  </sheetViews>
  <sheetFormatPr defaultRowHeight="13.5"/>
  <cols>
    <col min="1" max="3" width="11.875" customWidth="1"/>
    <col min="4" max="5" width="14.5" style="58" customWidth="1"/>
    <col min="6" max="8" width="14.5" style="61" customWidth="1"/>
    <col min="14" max="14" width="11.375" customWidth="1"/>
    <col min="16" max="17" width="9.5" bestFit="1" customWidth="1"/>
  </cols>
  <sheetData>
    <row r="1" spans="1:23">
      <c r="A1" s="32" t="s">
        <v>134</v>
      </c>
      <c r="B1" s="32"/>
      <c r="C1" s="32"/>
      <c r="D1" s="57" t="s">
        <v>135</v>
      </c>
      <c r="E1" s="57"/>
      <c r="F1" s="60"/>
      <c r="G1" s="60"/>
      <c r="H1" s="60"/>
      <c r="I1" s="32" t="s">
        <v>117</v>
      </c>
      <c r="N1" s="50" t="s">
        <v>116</v>
      </c>
    </row>
    <row r="2" spans="1:23" ht="14.25" thickBot="1">
      <c r="A2" s="32"/>
      <c r="B2" s="32"/>
      <c r="C2" s="32"/>
      <c r="D2" s="57"/>
      <c r="E2" s="57"/>
      <c r="F2" s="60"/>
      <c r="G2" s="60"/>
      <c r="H2" s="60"/>
      <c r="I2" s="32"/>
      <c r="N2" s="50"/>
    </row>
    <row r="3" spans="1:23" ht="14.25" thickBot="1">
      <c r="C3" s="4"/>
      <c r="I3" s="1" t="s">
        <v>113</v>
      </c>
      <c r="J3" s="2" t="s">
        <v>114</v>
      </c>
      <c r="K3" s="2" t="s">
        <v>115</v>
      </c>
      <c r="L3" s="30" t="s">
        <v>120</v>
      </c>
      <c r="M3" s="30"/>
      <c r="N3" s="50" t="s">
        <v>121</v>
      </c>
    </row>
    <row r="4" spans="1:23" ht="14.25" thickBot="1">
      <c r="C4" s="4"/>
      <c r="I4" s="30" t="s">
        <v>137</v>
      </c>
      <c r="J4" s="30" t="s">
        <v>138</v>
      </c>
      <c r="K4" s="30" t="s">
        <v>138</v>
      </c>
      <c r="L4" s="30" t="s">
        <v>138</v>
      </c>
      <c r="M4" s="30"/>
      <c r="N4" s="30" t="s">
        <v>139</v>
      </c>
    </row>
    <row r="5" spans="1:23">
      <c r="C5" s="4"/>
      <c r="G5" s="60" t="s">
        <v>140</v>
      </c>
      <c r="I5" s="30"/>
      <c r="J5" s="30"/>
      <c r="K5" s="30"/>
      <c r="L5" s="30"/>
      <c r="M5" s="30"/>
      <c r="N5" s="50"/>
      <c r="O5" s="36"/>
      <c r="P5" s="62" t="s">
        <v>142</v>
      </c>
      <c r="Q5" s="63" t="s">
        <v>143</v>
      </c>
      <c r="S5" s="32" t="s">
        <v>162</v>
      </c>
    </row>
    <row r="6" spans="1:23">
      <c r="A6" s="4" t="s">
        <v>6</v>
      </c>
      <c r="B6" s="4"/>
      <c r="C6" s="4" t="str">
        <f>Vehicle!B9</f>
        <v>gasoline vehicle</v>
      </c>
      <c r="D6" s="59"/>
      <c r="E6" s="204">
        <f>Vehicle!D9</f>
        <v>9.1999999999999993</v>
      </c>
      <c r="F6" s="5" t="str">
        <f>Vehicle!E9</f>
        <v>liter/100km</v>
      </c>
      <c r="G6" s="207">
        <f>Vehicle!F9</f>
        <v>2.8727689999999995</v>
      </c>
      <c r="H6" s="5"/>
      <c r="I6" s="20">
        <f>G6*WTPs!B5</f>
        <v>0.21333195640303682</v>
      </c>
      <c r="J6" s="20">
        <f>G6*WTPs!C5</f>
        <v>0.1441447656885011</v>
      </c>
      <c r="K6" s="20">
        <f>WTPs!D5*'WTW -small-ctl n SNG v'!G6</f>
        <v>3.3141735680726065</v>
      </c>
      <c r="L6" s="20">
        <f>SUM(I6:K6)</f>
        <v>3.6716502901641443</v>
      </c>
      <c r="M6" s="20"/>
      <c r="N6" s="51">
        <f>G6*WTPs!G5</f>
        <v>261.4260620763169</v>
      </c>
      <c r="O6" s="39"/>
      <c r="P6" s="35"/>
      <c r="Q6" s="40"/>
    </row>
    <row r="7" spans="1:23">
      <c r="A7" s="4" t="s">
        <v>5</v>
      </c>
      <c r="B7" s="4"/>
      <c r="C7" s="4" t="str">
        <f>Vehicle!B13</f>
        <v>diesel vehicle</v>
      </c>
      <c r="D7" s="59"/>
      <c r="E7" s="204">
        <f>Vehicle!D13</f>
        <v>6.8890476190476191</v>
      </c>
      <c r="F7" s="5" t="str">
        <f>Vehicle!E13</f>
        <v>liter/100km</v>
      </c>
      <c r="G7" s="207">
        <f>Vehicle!F13</f>
        <v>2.4923747599999997</v>
      </c>
      <c r="H7" s="5"/>
      <c r="I7" s="20">
        <f>G7*WTPs!B6</f>
        <v>0.18016400951188452</v>
      </c>
      <c r="J7" s="20">
        <f>G7*WTPs!C6</f>
        <v>0.12356941099877045</v>
      </c>
      <c r="K7" s="20">
        <f>WTPs!D6*'WTW -small-ctl n SNG v'!G7</f>
        <v>2.8593236456072861</v>
      </c>
      <c r="L7" s="20">
        <f>SUM(I7:K7)</f>
        <v>3.1630570661179411</v>
      </c>
      <c r="M7" s="20"/>
      <c r="N7" s="51">
        <f>G7*WTPs!G6</f>
        <v>232.04116261048478</v>
      </c>
      <c r="O7" s="39"/>
      <c r="P7" s="64">
        <f>1-L7/$L$6</f>
        <v>0.13851897208420305</v>
      </c>
      <c r="Q7" s="65">
        <f>1-N7/$N$6</f>
        <v>0.11240233369408259</v>
      </c>
    </row>
    <row r="8" spans="1:23">
      <c r="A8" s="4" t="s">
        <v>132</v>
      </c>
      <c r="B8" s="4"/>
      <c r="C8" s="4" t="str">
        <f>Vehicle!B16</f>
        <v>NG vehicle</v>
      </c>
      <c r="D8" s="59"/>
      <c r="E8" s="204">
        <f>Vehicle!D16</f>
        <v>7.35</v>
      </c>
      <c r="F8" s="5" t="str">
        <f>Vehicle!E16</f>
        <v>cubic meter/100km</v>
      </c>
      <c r="G8" s="207">
        <f>Vehicle!F16</f>
        <v>2.8591499999999996</v>
      </c>
      <c r="H8" s="5"/>
      <c r="I8" s="20">
        <f>G8*WTPs!B7</f>
        <v>0.22120088377524255</v>
      </c>
      <c r="J8" s="20">
        <f>G8*WTPs!C7</f>
        <v>3.1802751553724238</v>
      </c>
      <c r="K8" s="20">
        <f>WTPs!D7*'WTW -small-ctl n SNG v'!G8</f>
        <v>1.9895251831579829E-2</v>
      </c>
      <c r="L8" s="20">
        <f>SUM(I8:K8)</f>
        <v>3.4213712909792462</v>
      </c>
      <c r="M8" s="20"/>
      <c r="N8" s="51">
        <f>G8*WTPs!G7</f>
        <v>209.09430035289549</v>
      </c>
      <c r="O8" s="39"/>
      <c r="P8" s="64">
        <f>1-L8/$L$6</f>
        <v>6.8165260688187512E-2</v>
      </c>
      <c r="Q8" s="65">
        <f>1-N8/$N$6</f>
        <v>0.20017805917202103</v>
      </c>
    </row>
    <row r="9" spans="1:23">
      <c r="A9" s="4"/>
      <c r="B9" s="4"/>
      <c r="C9" s="4"/>
      <c r="D9" s="59"/>
      <c r="E9" s="204"/>
      <c r="F9" s="5"/>
      <c r="G9" s="207"/>
      <c r="H9" s="5"/>
      <c r="I9" s="20"/>
      <c r="J9" s="20"/>
      <c r="K9" s="20"/>
      <c r="L9" s="20"/>
      <c r="M9" s="20"/>
      <c r="N9" s="51"/>
      <c r="O9" s="39"/>
      <c r="P9" s="64"/>
      <c r="Q9" s="65"/>
    </row>
    <row r="10" spans="1:23">
      <c r="A10" s="32" t="s">
        <v>103</v>
      </c>
      <c r="B10" s="32"/>
      <c r="C10" s="32" t="str">
        <f>Vehicle!B14</f>
        <v>CTL vehicle</v>
      </c>
      <c r="D10" s="57"/>
      <c r="E10" s="205">
        <f>Vehicle!D14</f>
        <v>6.8890476190476191</v>
      </c>
      <c r="F10" s="60" t="str">
        <f>Vehicle!E14</f>
        <v>liter/100km</v>
      </c>
      <c r="G10" s="208">
        <f>Vehicle!F14</f>
        <v>2.4923747599999997</v>
      </c>
      <c r="H10" s="60"/>
      <c r="I10" s="20">
        <f>G10*WTPs!B10</f>
        <v>6.5752988733238</v>
      </c>
      <c r="J10" s="20">
        <f>G10*WTPs!C10</f>
        <v>1.8066965695372701E-2</v>
      </c>
      <c r="K10" s="20">
        <f>WTPs!D10*'WTW -small-ctl n SNG v'!G10</f>
        <v>0.11333767449451052</v>
      </c>
      <c r="L10" s="20">
        <f t="shared" ref="L10:L18" si="0">SUM(I10:K10)</f>
        <v>6.7067035135136832</v>
      </c>
      <c r="M10" s="20"/>
      <c r="N10" s="51">
        <f>G10*WTPs!G10</f>
        <v>612.58784538780412</v>
      </c>
      <c r="O10" s="39"/>
      <c r="P10" s="64">
        <f t="shared" ref="P10:P18" si="1">1-L10/$L$6</f>
        <v>-0.82661827339058869</v>
      </c>
      <c r="Q10" s="65">
        <f t="shared" ref="Q10:Q18" si="2">1-N10/$N$6</f>
        <v>-1.3432546874724913</v>
      </c>
      <c r="S10" s="32" t="s">
        <v>154</v>
      </c>
      <c r="T10" s="32" t="s">
        <v>150</v>
      </c>
      <c r="U10" s="32" t="s">
        <v>151</v>
      </c>
      <c r="V10" s="32" t="s">
        <v>152</v>
      </c>
      <c r="W10" s="70" t="s">
        <v>153</v>
      </c>
    </row>
    <row r="11" spans="1:23" s="175" customFormat="1">
      <c r="A11" s="179" t="s">
        <v>129</v>
      </c>
      <c r="B11" s="179"/>
      <c r="C11" s="179" t="str">
        <f>C10</f>
        <v>CTL vehicle</v>
      </c>
      <c r="D11" s="180"/>
      <c r="E11" s="206">
        <f t="shared" ref="E11:G13" si="3">E10</f>
        <v>6.8890476190476191</v>
      </c>
      <c r="F11" s="181" t="str">
        <f t="shared" si="3"/>
        <v>liter/100km</v>
      </c>
      <c r="G11" s="209">
        <f t="shared" si="3"/>
        <v>2.4923747599999997</v>
      </c>
      <c r="H11" s="181"/>
      <c r="I11" s="176">
        <f>G11*WTPs!B11</f>
        <v>5.4295054684849555</v>
      </c>
      <c r="J11" s="176">
        <f>G11*WTPs!C11</f>
        <v>1.5152281841361036E-2</v>
      </c>
      <c r="K11" s="176">
        <f>WTPs!D11*'WTW -small-ctl n SNG v'!G11</f>
        <v>9.7582247658474647E-2</v>
      </c>
      <c r="L11" s="176">
        <f t="shared" si="0"/>
        <v>5.5422399979847912</v>
      </c>
      <c r="M11" s="176"/>
      <c r="N11" s="178">
        <f>G11*WTPs!G11</f>
        <v>506.51787642661714</v>
      </c>
      <c r="O11" s="182"/>
      <c r="P11" s="183">
        <f t="shared" si="1"/>
        <v>-0.50946837525123345</v>
      </c>
      <c r="Q11" s="184">
        <f t="shared" si="2"/>
        <v>-0.93751867125914834</v>
      </c>
      <c r="S11" s="174" t="s">
        <v>157</v>
      </c>
      <c r="T11" s="174" t="s">
        <v>150</v>
      </c>
      <c r="U11" s="174" t="s">
        <v>158</v>
      </c>
      <c r="V11" s="174" t="s">
        <v>152</v>
      </c>
      <c r="W11" s="185" t="s">
        <v>159</v>
      </c>
    </row>
    <row r="12" spans="1:23">
      <c r="A12" s="32" t="s">
        <v>106</v>
      </c>
      <c r="B12" s="32"/>
      <c r="C12" s="4" t="str">
        <f>C11</f>
        <v>CTL vehicle</v>
      </c>
      <c r="D12" s="59"/>
      <c r="E12" s="204">
        <f t="shared" si="3"/>
        <v>6.8890476190476191</v>
      </c>
      <c r="F12" s="5" t="str">
        <f t="shared" si="3"/>
        <v>liter/100km</v>
      </c>
      <c r="G12" s="207">
        <f t="shared" si="3"/>
        <v>2.4923747599999997</v>
      </c>
      <c r="H12" s="5"/>
      <c r="I12" s="20">
        <f>G12*WTPs!B12</f>
        <v>8.1326048721699351</v>
      </c>
      <c r="J12" s="20">
        <f>G12*WTPs!C12</f>
        <v>2.3885867238638447E-2</v>
      </c>
      <c r="K12" s="20">
        <f>WTPs!D12*'WTW -small-ctl n SNG v'!G12</f>
        <v>0.13511024206208233</v>
      </c>
      <c r="L12" s="20">
        <f t="shared" si="0"/>
        <v>8.2916009814706548</v>
      </c>
      <c r="M12" s="20"/>
      <c r="N12" s="51">
        <f>G12*'CtL(CCS)'!P27</f>
        <v>368.54535003719343</v>
      </c>
      <c r="O12" s="39"/>
      <c r="P12" s="64">
        <f>1-L12/$L$6</f>
        <v>-1.2582763406642337</v>
      </c>
      <c r="Q12" s="65">
        <f>1-N12/$N$6</f>
        <v>-0.40974984326392705</v>
      </c>
    </row>
    <row r="13" spans="1:23" s="175" customFormat="1">
      <c r="A13" s="174" t="s">
        <v>128</v>
      </c>
      <c r="B13" s="174"/>
      <c r="C13" s="179" t="str">
        <f>C12</f>
        <v>CTL vehicle</v>
      </c>
      <c r="D13" s="180"/>
      <c r="E13" s="180">
        <f t="shared" si="3"/>
        <v>6.8890476190476191</v>
      </c>
      <c r="F13" s="181" t="str">
        <f t="shared" si="3"/>
        <v>liter/100km</v>
      </c>
      <c r="G13" s="209">
        <f t="shared" si="3"/>
        <v>2.4923747599999997</v>
      </c>
      <c r="H13" s="181"/>
      <c r="I13" s="176">
        <f>G13*WTPs!B13</f>
        <v>6.4724564141431262</v>
      </c>
      <c r="J13" s="176">
        <f>G13*WTPs!C13</f>
        <v>3.6494021414706014E-2</v>
      </c>
      <c r="K13" s="176">
        <f>WTPs!D13*'WTW -small-ctl n SNG v'!G13</f>
        <v>0.11553131417808697</v>
      </c>
      <c r="L13" s="176">
        <f t="shared" si="0"/>
        <v>6.624481749735919</v>
      </c>
      <c r="M13" s="176"/>
      <c r="N13" s="178">
        <f>G13*WTPs!G13</f>
        <v>401.32508366120766</v>
      </c>
      <c r="O13" s="182"/>
      <c r="P13" s="183">
        <f t="shared" si="1"/>
        <v>-0.80422459281648129</v>
      </c>
      <c r="Q13" s="184">
        <f t="shared" si="2"/>
        <v>-0.53513800603419059</v>
      </c>
    </row>
    <row r="14" spans="1:23">
      <c r="A14" s="32"/>
      <c r="B14" s="32"/>
      <c r="C14" s="32"/>
      <c r="D14" s="57"/>
      <c r="E14" s="57"/>
      <c r="F14" s="60"/>
      <c r="G14" s="208"/>
      <c r="H14" s="60"/>
      <c r="I14" s="20"/>
      <c r="J14" s="20"/>
      <c r="K14" s="20"/>
      <c r="L14" s="20"/>
      <c r="M14" s="20"/>
      <c r="N14" s="51"/>
      <c r="O14" s="39"/>
      <c r="P14" s="64"/>
      <c r="Q14" s="65"/>
    </row>
    <row r="15" spans="1:23">
      <c r="A15" s="32" t="s">
        <v>105</v>
      </c>
      <c r="B15" s="32"/>
      <c r="C15" s="32" t="str">
        <f>Vehicle!B17</f>
        <v>SNG vehicle</v>
      </c>
      <c r="D15" s="57"/>
      <c r="E15" s="57">
        <f>Vehicle!D17</f>
        <v>7.35</v>
      </c>
      <c r="F15" s="60" t="str">
        <f>Vehicle!E17</f>
        <v>cubic meter/100km</v>
      </c>
      <c r="G15" s="208">
        <f>Vehicle!F17</f>
        <v>2.8591499999999996</v>
      </c>
      <c r="H15" s="60"/>
      <c r="I15" s="20">
        <f>G15*WTPs!B31</f>
        <v>6.036701131051025</v>
      </c>
      <c r="J15" s="20">
        <f>G15*WTPs!C31</f>
        <v>1.5356237209833735E-2</v>
      </c>
      <c r="K15" s="20">
        <f>WTPs!D31*'WTW -small-ctl n SNG v'!G15</f>
        <v>8.3008684287780993E-2</v>
      </c>
      <c r="L15" s="20">
        <f t="shared" si="0"/>
        <v>6.1350660525486393</v>
      </c>
      <c r="M15" s="20"/>
      <c r="N15" s="51">
        <f>G15*WTPs!G31</f>
        <v>556.30833873953361</v>
      </c>
      <c r="O15" s="39"/>
      <c r="P15" s="64">
        <f t="shared" si="1"/>
        <v>-0.67092875620089787</v>
      </c>
      <c r="Q15" s="65">
        <f t="shared" si="2"/>
        <v>-1.1279758197066561</v>
      </c>
      <c r="S15" s="32" t="s">
        <v>154</v>
      </c>
      <c r="T15" s="32" t="s">
        <v>150</v>
      </c>
      <c r="U15" s="32" t="s">
        <v>155</v>
      </c>
      <c r="V15" s="32" t="s">
        <v>152</v>
      </c>
      <c r="W15" s="70" t="s">
        <v>156</v>
      </c>
    </row>
    <row r="16" spans="1:23" s="175" customFormat="1">
      <c r="A16" s="174" t="s">
        <v>130</v>
      </c>
      <c r="B16" s="174"/>
      <c r="C16" s="179" t="str">
        <f>C15</f>
        <v>SNG vehicle</v>
      </c>
      <c r="D16" s="180"/>
      <c r="E16" s="180">
        <f t="shared" ref="E16:G18" si="4">E15</f>
        <v>7.35</v>
      </c>
      <c r="F16" s="181" t="str">
        <f t="shared" si="4"/>
        <v>cubic meter/100km</v>
      </c>
      <c r="G16" s="209">
        <f t="shared" si="4"/>
        <v>2.8591499999999996</v>
      </c>
      <c r="H16" s="181"/>
      <c r="I16" s="176">
        <f>G16*WTPs!B32</f>
        <v>6.036701131051025</v>
      </c>
      <c r="J16" s="176">
        <f>G16*WTPs!C32</f>
        <v>1.5356237209833735E-2</v>
      </c>
      <c r="K16" s="176">
        <f>WTPs!D32*'WTW -small-ctl n SNG v'!G16</f>
        <v>8.3008684287780993E-2</v>
      </c>
      <c r="L16" s="176">
        <f t="shared" si="0"/>
        <v>6.1350660525486393</v>
      </c>
      <c r="M16" s="176"/>
      <c r="N16" s="178">
        <f>G16*WTPs!G32</f>
        <v>556.30833873953361</v>
      </c>
      <c r="O16" s="182"/>
      <c r="P16" s="183">
        <f t="shared" si="1"/>
        <v>-0.67092875620089787</v>
      </c>
      <c r="Q16" s="184">
        <f t="shared" si="2"/>
        <v>-1.1279758197066561</v>
      </c>
      <c r="S16" s="174" t="s">
        <v>157</v>
      </c>
      <c r="T16" s="174" t="s">
        <v>150</v>
      </c>
      <c r="U16" s="174" t="s">
        <v>160</v>
      </c>
      <c r="V16" s="174" t="s">
        <v>152</v>
      </c>
      <c r="W16" s="185" t="s">
        <v>161</v>
      </c>
    </row>
    <row r="17" spans="1:17">
      <c r="A17" s="32" t="s">
        <v>112</v>
      </c>
      <c r="B17" s="32"/>
      <c r="C17" s="4" t="str">
        <f>C16</f>
        <v>SNG vehicle</v>
      </c>
      <c r="D17" s="59"/>
      <c r="E17" s="59">
        <f t="shared" si="4"/>
        <v>7.35</v>
      </c>
      <c r="F17" s="5" t="str">
        <f t="shared" si="4"/>
        <v>cubic meter/100km</v>
      </c>
      <c r="G17" s="207">
        <f t="shared" si="4"/>
        <v>2.8591499999999996</v>
      </c>
      <c r="H17" s="5"/>
      <c r="I17" s="20">
        <f>G17*WTPs!B33</f>
        <v>6.0499715330963397</v>
      </c>
      <c r="J17" s="20">
        <f>G17*WTPs!C33</f>
        <v>1.6388060752429486E-2</v>
      </c>
      <c r="K17" s="20">
        <f>WTPs!D33*'WTW -small-ctl n SNG v'!G17</f>
        <v>8.3383834938262708E-2</v>
      </c>
      <c r="L17" s="20">
        <f t="shared" si="0"/>
        <v>6.1497434287870325</v>
      </c>
      <c r="M17" s="20"/>
      <c r="N17" s="51">
        <f>G17*WTPs!G33</f>
        <v>353.51793746889257</v>
      </c>
      <c r="O17" s="39"/>
      <c r="P17" s="64">
        <f t="shared" si="1"/>
        <v>-0.67492624372788579</v>
      </c>
      <c r="Q17" s="65">
        <f t="shared" si="2"/>
        <v>-0.35226738551297054</v>
      </c>
    </row>
    <row r="18" spans="1:17" s="175" customFormat="1" ht="14.25" thickBot="1">
      <c r="A18" s="174" t="s">
        <v>131</v>
      </c>
      <c r="B18" s="174"/>
      <c r="C18" s="179" t="str">
        <f>C17</f>
        <v>SNG vehicle</v>
      </c>
      <c r="D18" s="180"/>
      <c r="E18" s="180">
        <f t="shared" si="4"/>
        <v>7.35</v>
      </c>
      <c r="F18" s="181" t="str">
        <f t="shared" si="4"/>
        <v>cubic meter/100km</v>
      </c>
      <c r="G18" s="209">
        <f t="shared" si="4"/>
        <v>2.8591499999999996</v>
      </c>
      <c r="H18" s="181"/>
      <c r="I18" s="176">
        <f>G18*WTPs!B34</f>
        <v>6.036701131051025</v>
      </c>
      <c r="J18" s="176">
        <f>G18*WTPs!C34</f>
        <v>1.5356237209833735E-2</v>
      </c>
      <c r="K18" s="176">
        <f>WTPs!D34*'WTW -small-ctl n SNG v'!G18</f>
        <v>8.3008684287780993E-2</v>
      </c>
      <c r="L18" s="176">
        <f t="shared" si="0"/>
        <v>6.1350660525486393</v>
      </c>
      <c r="N18" s="178">
        <f>G18*WTPs!G34</f>
        <v>351.69399037460454</v>
      </c>
      <c r="O18" s="186"/>
      <c r="P18" s="187">
        <f t="shared" si="1"/>
        <v>-0.67092875620089787</v>
      </c>
      <c r="Q18" s="188">
        <f t="shared" si="2"/>
        <v>-0.34529047173550786</v>
      </c>
    </row>
    <row r="21" spans="1:17">
      <c r="C21" s="107" t="s">
        <v>171</v>
      </c>
      <c r="D21" s="89" t="s">
        <v>172</v>
      </c>
      <c r="E21" s="89" t="s">
        <v>173</v>
      </c>
      <c r="F21" s="90" t="s">
        <v>174</v>
      </c>
      <c r="G21" s="119" t="s">
        <v>175</v>
      </c>
      <c r="H21" s="120" t="s">
        <v>176</v>
      </c>
    </row>
    <row r="22" spans="1:17">
      <c r="C22" s="101"/>
      <c r="D22" s="125"/>
      <c r="E22" s="125" t="s">
        <v>177</v>
      </c>
      <c r="F22" s="130" t="s">
        <v>178</v>
      </c>
      <c r="G22" s="130"/>
      <c r="H22" s="131"/>
    </row>
    <row r="23" spans="1:17">
      <c r="C23" s="107" t="str">
        <f>A6</f>
        <v>Gasoline</v>
      </c>
      <c r="D23" s="89" t="str">
        <f>C6</f>
        <v>gasoline vehicle</v>
      </c>
      <c r="E23" s="132">
        <f>L6</f>
        <v>3.6716502901641443</v>
      </c>
      <c r="F23" s="90">
        <f>N6</f>
        <v>261.4260620763169</v>
      </c>
      <c r="G23" s="119"/>
      <c r="H23" s="120"/>
    </row>
    <row r="24" spans="1:17">
      <c r="C24" s="93" t="str">
        <f t="shared" ref="C24:C35" si="5">A7</f>
        <v>Diesel</v>
      </c>
      <c r="D24" s="94" t="str">
        <f t="shared" ref="D24:D34" si="6">C7</f>
        <v>diesel vehicle</v>
      </c>
      <c r="E24" s="121">
        <f t="shared" ref="E24:E32" si="7">L7</f>
        <v>3.1630570661179411</v>
      </c>
      <c r="F24" s="122">
        <f t="shared" ref="F24:F35" si="8">N7</f>
        <v>232.04116261048478</v>
      </c>
      <c r="G24" s="123">
        <f>P7</f>
        <v>0.13851897208420305</v>
      </c>
      <c r="H24" s="124">
        <f>Q7</f>
        <v>0.11240233369408259</v>
      </c>
    </row>
    <row r="25" spans="1:17">
      <c r="C25" s="101" t="str">
        <f t="shared" si="5"/>
        <v>CNG</v>
      </c>
      <c r="D25" s="125" t="str">
        <f t="shared" si="6"/>
        <v>NG vehicle</v>
      </c>
      <c r="E25" s="126">
        <f t="shared" si="7"/>
        <v>3.4213712909792462</v>
      </c>
      <c r="F25" s="127">
        <f t="shared" si="8"/>
        <v>209.09430035289549</v>
      </c>
      <c r="G25" s="128">
        <f>P8</f>
        <v>6.8165260688187512E-2</v>
      </c>
      <c r="H25" s="129">
        <f>Q8</f>
        <v>0.20017805917202103</v>
      </c>
    </row>
    <row r="26" spans="1:17">
      <c r="C26" s="93"/>
      <c r="D26" s="94"/>
      <c r="E26" s="121"/>
      <c r="F26" s="122"/>
      <c r="G26" s="123"/>
      <c r="H26" s="124"/>
    </row>
    <row r="27" spans="1:17">
      <c r="C27" s="107" t="str">
        <f t="shared" si="5"/>
        <v>CTL</v>
      </c>
      <c r="D27" s="89" t="str">
        <f t="shared" si="6"/>
        <v>CTL vehicle</v>
      </c>
      <c r="E27" s="132">
        <f t="shared" si="7"/>
        <v>6.7067035135136832</v>
      </c>
      <c r="F27" s="90">
        <f t="shared" si="8"/>
        <v>612.58784538780412</v>
      </c>
      <c r="G27" s="133">
        <f t="shared" ref="G27:H30" si="9">P10</f>
        <v>-0.82661827339058869</v>
      </c>
      <c r="H27" s="134">
        <f t="shared" si="9"/>
        <v>-1.3432546874724913</v>
      </c>
    </row>
    <row r="28" spans="1:17" s="175" customFormat="1">
      <c r="C28" s="189" t="str">
        <f t="shared" si="5"/>
        <v>CTL(2)</v>
      </c>
      <c r="D28" s="190" t="str">
        <f t="shared" si="6"/>
        <v>CTL vehicle</v>
      </c>
      <c r="E28" s="191">
        <f t="shared" si="7"/>
        <v>5.5422399979847912</v>
      </c>
      <c r="F28" s="192">
        <f t="shared" si="8"/>
        <v>506.51787642661714</v>
      </c>
      <c r="G28" s="193">
        <f t="shared" si="9"/>
        <v>-0.50946837525123345</v>
      </c>
      <c r="H28" s="194">
        <f t="shared" si="9"/>
        <v>-0.93751867125914834</v>
      </c>
    </row>
    <row r="29" spans="1:17">
      <c r="C29" s="93" t="str">
        <f t="shared" si="5"/>
        <v>CTL+CCS</v>
      </c>
      <c r="D29" s="94" t="str">
        <f t="shared" si="6"/>
        <v>CTL vehicle</v>
      </c>
      <c r="E29" s="121">
        <f t="shared" si="7"/>
        <v>8.2916009814706548</v>
      </c>
      <c r="F29" s="122">
        <f t="shared" si="8"/>
        <v>368.54535003719343</v>
      </c>
      <c r="G29" s="123">
        <f t="shared" si="9"/>
        <v>-1.2582763406642337</v>
      </c>
      <c r="H29" s="124">
        <f t="shared" si="9"/>
        <v>-0.40974984326392705</v>
      </c>
    </row>
    <row r="30" spans="1:17" s="175" customFormat="1">
      <c r="C30" s="195" t="str">
        <f t="shared" si="5"/>
        <v>CTL+CCS (2)</v>
      </c>
      <c r="D30" s="196" t="str">
        <f t="shared" si="6"/>
        <v>CTL vehicle</v>
      </c>
      <c r="E30" s="197">
        <f t="shared" si="7"/>
        <v>6.624481749735919</v>
      </c>
      <c r="F30" s="198">
        <f t="shared" si="8"/>
        <v>401.32508366120766</v>
      </c>
      <c r="G30" s="199">
        <f t="shared" si="9"/>
        <v>-0.80422459281648129</v>
      </c>
      <c r="H30" s="200">
        <f t="shared" si="9"/>
        <v>-0.53513800603419059</v>
      </c>
    </row>
    <row r="31" spans="1:17">
      <c r="C31" s="93"/>
      <c r="D31" s="94"/>
      <c r="E31" s="121"/>
      <c r="F31" s="122"/>
      <c r="G31" s="123"/>
      <c r="H31" s="124"/>
    </row>
    <row r="32" spans="1:17">
      <c r="C32" s="107" t="str">
        <f t="shared" si="5"/>
        <v>SNG</v>
      </c>
      <c r="D32" s="89" t="str">
        <f t="shared" si="6"/>
        <v>SNG vehicle</v>
      </c>
      <c r="E32" s="132">
        <f t="shared" si="7"/>
        <v>6.1350660525486393</v>
      </c>
      <c r="F32" s="90">
        <f t="shared" si="8"/>
        <v>556.30833873953361</v>
      </c>
      <c r="G32" s="133">
        <f t="shared" ref="G32:H35" si="10">P15</f>
        <v>-0.67092875620089787</v>
      </c>
      <c r="H32" s="134">
        <f t="shared" si="10"/>
        <v>-1.1279758197066561</v>
      </c>
    </row>
    <row r="33" spans="3:8" s="175" customFormat="1">
      <c r="C33" s="189" t="str">
        <f>A16</f>
        <v>SNG (2)</v>
      </c>
      <c r="D33" s="190" t="str">
        <f t="shared" si="6"/>
        <v>SNG vehicle</v>
      </c>
      <c r="E33" s="191">
        <f>L16</f>
        <v>6.1350660525486393</v>
      </c>
      <c r="F33" s="192">
        <f t="shared" si="8"/>
        <v>556.30833873953361</v>
      </c>
      <c r="G33" s="193">
        <f t="shared" si="10"/>
        <v>-0.67092875620089787</v>
      </c>
      <c r="H33" s="194">
        <f t="shared" si="10"/>
        <v>-1.1279758197066561</v>
      </c>
    </row>
    <row r="34" spans="3:8">
      <c r="C34" s="93" t="str">
        <f t="shared" si="5"/>
        <v>SNG+CCS</v>
      </c>
      <c r="D34" s="94" t="str">
        <f t="shared" si="6"/>
        <v>SNG vehicle</v>
      </c>
      <c r="E34" s="121">
        <f>L17</f>
        <v>6.1497434287870325</v>
      </c>
      <c r="F34" s="122">
        <f t="shared" si="8"/>
        <v>353.51793746889257</v>
      </c>
      <c r="G34" s="123">
        <f t="shared" si="10"/>
        <v>-0.67492624372788579</v>
      </c>
      <c r="H34" s="124">
        <f t="shared" si="10"/>
        <v>-0.35226738551297054</v>
      </c>
    </row>
    <row r="35" spans="3:8" s="175" customFormat="1">
      <c r="C35" s="195" t="str">
        <f t="shared" si="5"/>
        <v>SNG+CCS (2)</v>
      </c>
      <c r="D35" s="196" t="str">
        <f>C18</f>
        <v>SNG vehicle</v>
      </c>
      <c r="E35" s="197">
        <f>L18</f>
        <v>6.1350660525486393</v>
      </c>
      <c r="F35" s="198">
        <f t="shared" si="8"/>
        <v>351.69399037460454</v>
      </c>
      <c r="G35" s="199">
        <f t="shared" si="10"/>
        <v>-0.67092875620089787</v>
      </c>
      <c r="H35" s="200">
        <f t="shared" si="10"/>
        <v>-0.34529047173550786</v>
      </c>
    </row>
    <row r="36" spans="3:8">
      <c r="F36" s="86"/>
      <c r="G36" s="118"/>
      <c r="H36" s="118"/>
    </row>
  </sheetData>
  <phoneticPr fontId="2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J25" sqref="J25"/>
    </sheetView>
  </sheetViews>
  <sheetFormatPr defaultRowHeight="13.5"/>
  <sheetData>
    <row r="1" spans="1:10">
      <c r="A1" s="138" t="s">
        <v>289</v>
      </c>
      <c r="B1" s="154">
        <v>250</v>
      </c>
      <c r="C1" s="138" t="s">
        <v>290</v>
      </c>
      <c r="F1" s="138" t="s">
        <v>285</v>
      </c>
    </row>
    <row r="2" spans="1:10">
      <c r="A2" s="138" t="s">
        <v>284</v>
      </c>
    </row>
    <row r="3" spans="1:10">
      <c r="A3" s="138">
        <v>100</v>
      </c>
      <c r="B3" s="138" t="s">
        <v>286</v>
      </c>
      <c r="D3" s="138" t="s">
        <v>288</v>
      </c>
    </row>
    <row r="4" spans="1:10">
      <c r="A4">
        <f>A3*0.001*1.055</f>
        <v>0.1055</v>
      </c>
      <c r="B4" s="138" t="s">
        <v>287</v>
      </c>
      <c r="C4" s="138"/>
      <c r="G4" s="138"/>
    </row>
    <row r="5" spans="1:10">
      <c r="A5">
        <f>A4*B1</f>
        <v>26.375</v>
      </c>
      <c r="B5" s="138" t="s">
        <v>291</v>
      </c>
      <c r="E5" s="138" t="s">
        <v>292</v>
      </c>
      <c r="F5" s="138" t="s">
        <v>293</v>
      </c>
      <c r="G5" s="138" t="s">
        <v>294</v>
      </c>
      <c r="H5" s="138" t="s">
        <v>296</v>
      </c>
      <c r="I5" s="138" t="s">
        <v>297</v>
      </c>
      <c r="J5" s="138" t="s">
        <v>298</v>
      </c>
    </row>
    <row r="6" spans="1:10">
      <c r="B6" s="138" t="s">
        <v>292</v>
      </c>
      <c r="C6">
        <f>A5*'LC factor'!L15</f>
        <v>63.493143410887164</v>
      </c>
      <c r="D6" s="138" t="s">
        <v>291</v>
      </c>
      <c r="E6">
        <f>C6</f>
        <v>63.493143410887164</v>
      </c>
      <c r="F6" s="138">
        <f>C7</f>
        <v>4.9368300930940485</v>
      </c>
      <c r="G6" s="153">
        <f>C8</f>
        <v>1.7949338663883421</v>
      </c>
      <c r="H6" s="138">
        <f>C9</f>
        <v>5596.8149000377289</v>
      </c>
      <c r="I6">
        <f>C10</f>
        <v>26.228035716063221</v>
      </c>
      <c r="J6">
        <f>C11</f>
        <v>8.8115432421863288E-2</v>
      </c>
    </row>
    <row r="7" spans="1:10">
      <c r="B7" s="138" t="s">
        <v>293</v>
      </c>
      <c r="C7">
        <f>A5*'LC factor'!L16</f>
        <v>4.9368300930940485</v>
      </c>
      <c r="D7" s="138" t="s">
        <v>291</v>
      </c>
      <c r="F7" s="138"/>
      <c r="G7" s="153"/>
      <c r="H7" s="138"/>
    </row>
    <row r="8" spans="1:10">
      <c r="B8" s="138" t="s">
        <v>294</v>
      </c>
      <c r="C8">
        <f>A5*'LC factor'!L17</f>
        <v>1.7949338663883421</v>
      </c>
      <c r="D8" s="138" t="s">
        <v>291</v>
      </c>
      <c r="F8" s="138"/>
      <c r="G8" s="153"/>
      <c r="H8" s="138"/>
    </row>
    <row r="9" spans="1:10">
      <c r="B9" s="138" t="s">
        <v>296</v>
      </c>
      <c r="C9">
        <f>A5*'LC factor'!L18</f>
        <v>5596.8149000377289</v>
      </c>
      <c r="D9" s="138" t="s">
        <v>295</v>
      </c>
    </row>
    <row r="10" spans="1:10">
      <c r="B10" s="138" t="s">
        <v>297</v>
      </c>
      <c r="C10">
        <f>A5*'LC factor'!L19</f>
        <v>26.228035716063221</v>
      </c>
      <c r="D10" s="138" t="s">
        <v>295</v>
      </c>
    </row>
    <row r="11" spans="1:10">
      <c r="B11" s="138" t="s">
        <v>298</v>
      </c>
      <c r="C11">
        <f>A5*'LC factor'!L20</f>
        <v>8.8115432421863288E-2</v>
      </c>
      <c r="D11" s="138" t="s">
        <v>299</v>
      </c>
    </row>
    <row r="12" spans="1:10">
      <c r="A12" s="138"/>
    </row>
  </sheetData>
  <phoneticPr fontId="26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O34"/>
  <sheetViews>
    <sheetView topLeftCell="A7" workbookViewId="0">
      <selection activeCell="J25" sqref="J25"/>
    </sheetView>
  </sheetViews>
  <sheetFormatPr defaultRowHeight="13.5"/>
  <sheetData>
    <row r="1" spans="1:12" ht="14.25" thickBot="1"/>
    <row r="2" spans="1:12">
      <c r="A2" s="36" t="s">
        <v>181</v>
      </c>
      <c r="B2" s="37" t="s">
        <v>182</v>
      </c>
      <c r="C2" s="38"/>
    </row>
    <row r="3" spans="1:12" ht="14.25" thickBot="1">
      <c r="A3" s="41"/>
      <c r="B3" s="42" t="s">
        <v>183</v>
      </c>
      <c r="C3" s="43"/>
    </row>
    <row r="5" spans="1:12">
      <c r="K5" s="138" t="s">
        <v>268</v>
      </c>
    </row>
    <row r="6" spans="1:12">
      <c r="K6" s="254" t="s">
        <v>361</v>
      </c>
      <c r="L6" s="177" t="s">
        <v>272</v>
      </c>
    </row>
    <row r="7" spans="1:12">
      <c r="B7" t="s">
        <v>184</v>
      </c>
      <c r="F7">
        <v>2E-3</v>
      </c>
      <c r="G7" s="138" t="s">
        <v>264</v>
      </c>
      <c r="H7" s="138" t="s">
        <v>266</v>
      </c>
      <c r="I7" s="138"/>
    </row>
    <row r="8" spans="1:12">
      <c r="B8" t="s">
        <v>185</v>
      </c>
      <c r="F8">
        <v>4.7E-2</v>
      </c>
      <c r="G8" s="138" t="s">
        <v>264</v>
      </c>
      <c r="H8" s="138" t="s">
        <v>265</v>
      </c>
      <c r="I8" s="138"/>
    </row>
    <row r="9" spans="1:12">
      <c r="B9" t="s">
        <v>186</v>
      </c>
    </row>
    <row r="10" spans="1:12">
      <c r="C10" t="s">
        <v>187</v>
      </c>
      <c r="F10">
        <v>0.68</v>
      </c>
      <c r="G10" s="138" t="s">
        <v>264</v>
      </c>
      <c r="H10" s="138" t="s">
        <v>267</v>
      </c>
      <c r="I10" s="138"/>
      <c r="K10">
        <v>36.1</v>
      </c>
      <c r="L10" s="177"/>
    </row>
    <row r="11" spans="1:12">
      <c r="C11" s="135" t="s">
        <v>189</v>
      </c>
      <c r="F11">
        <v>1.31</v>
      </c>
      <c r="G11" s="138" t="s">
        <v>264</v>
      </c>
      <c r="H11" s="138" t="s">
        <v>267</v>
      </c>
      <c r="I11" s="138"/>
      <c r="K11">
        <v>26.5</v>
      </c>
      <c r="L11" s="177"/>
    </row>
    <row r="12" spans="1:12">
      <c r="C12" t="s">
        <v>188</v>
      </c>
      <c r="F12">
        <v>0.51</v>
      </c>
      <c r="G12" s="138" t="s">
        <v>264</v>
      </c>
      <c r="K12">
        <v>45.6</v>
      </c>
      <c r="L12" s="177">
        <v>46.8</v>
      </c>
    </row>
    <row r="13" spans="1:12">
      <c r="C13" s="135" t="s">
        <v>189</v>
      </c>
      <c r="F13">
        <v>0.93</v>
      </c>
      <c r="G13" s="138" t="s">
        <v>264</v>
      </c>
      <c r="K13">
        <v>35.9</v>
      </c>
      <c r="L13" s="177">
        <v>38.799999999999997</v>
      </c>
    </row>
    <row r="14" spans="1:12">
      <c r="C14" s="136" t="s">
        <v>190</v>
      </c>
      <c r="F14">
        <v>0.32</v>
      </c>
      <c r="G14" s="138" t="s">
        <v>264</v>
      </c>
      <c r="K14">
        <v>40.4</v>
      </c>
      <c r="L14" s="177">
        <v>43.7</v>
      </c>
    </row>
    <row r="15" spans="1:12">
      <c r="C15" s="135" t="s">
        <v>189</v>
      </c>
      <c r="F15">
        <v>0.57999999999999996</v>
      </c>
      <c r="G15" s="138" t="s">
        <v>264</v>
      </c>
      <c r="K15">
        <v>32.799999999999997</v>
      </c>
      <c r="L15" s="177">
        <v>37.5</v>
      </c>
    </row>
    <row r="16" spans="1:12">
      <c r="C16" s="135" t="s">
        <v>359</v>
      </c>
      <c r="F16">
        <v>0.39</v>
      </c>
      <c r="G16" s="138" t="s">
        <v>264</v>
      </c>
      <c r="K16">
        <v>43.2</v>
      </c>
      <c r="L16" s="177"/>
    </row>
    <row r="17" spans="3:15">
      <c r="C17" s="135" t="s">
        <v>360</v>
      </c>
      <c r="F17">
        <v>0.72</v>
      </c>
      <c r="G17" s="138" t="s">
        <v>264</v>
      </c>
      <c r="K17">
        <v>36.4</v>
      </c>
      <c r="L17" s="177"/>
    </row>
    <row r="18" spans="3:15">
      <c r="C18" s="136" t="s">
        <v>191</v>
      </c>
      <c r="F18">
        <v>0.16</v>
      </c>
      <c r="G18" s="138" t="s">
        <v>264</v>
      </c>
      <c r="K18">
        <v>40.700000000000003</v>
      </c>
      <c r="L18" s="177"/>
    </row>
    <row r="19" spans="3:15">
      <c r="C19" s="135" t="s">
        <v>189</v>
      </c>
      <c r="F19">
        <v>0.24</v>
      </c>
      <c r="G19" s="138" t="s">
        <v>264</v>
      </c>
      <c r="K19">
        <v>33</v>
      </c>
      <c r="L19" s="177"/>
    </row>
    <row r="20" spans="3:15">
      <c r="C20" s="136" t="s">
        <v>192</v>
      </c>
      <c r="F20">
        <v>0.25</v>
      </c>
      <c r="G20" s="138" t="s">
        <v>264</v>
      </c>
      <c r="K20">
        <v>51</v>
      </c>
      <c r="L20" s="177">
        <v>59.5</v>
      </c>
    </row>
    <row r="21" spans="3:15">
      <c r="C21" s="135" t="s">
        <v>189</v>
      </c>
      <c r="F21">
        <v>0.24</v>
      </c>
      <c r="G21" s="138" t="s">
        <v>264</v>
      </c>
      <c r="K21">
        <v>51</v>
      </c>
      <c r="L21" s="177">
        <v>59.5</v>
      </c>
    </row>
    <row r="22" spans="3:15">
      <c r="E22" s="138" t="s">
        <v>269</v>
      </c>
      <c r="F22" s="138" t="s">
        <v>270</v>
      </c>
      <c r="G22" s="138" t="s">
        <v>271</v>
      </c>
      <c r="H22" s="138" t="s">
        <v>365</v>
      </c>
      <c r="I22" s="138"/>
      <c r="J22" s="177" t="s">
        <v>362</v>
      </c>
      <c r="K22" s="177" t="s">
        <v>363</v>
      </c>
      <c r="L22" s="177" t="s">
        <v>271</v>
      </c>
      <c r="M22" s="177"/>
      <c r="N22" s="177" t="s">
        <v>364</v>
      </c>
      <c r="O22" s="177" t="s">
        <v>358</v>
      </c>
    </row>
    <row r="23" spans="3:15">
      <c r="C23" t="str">
        <f t="shared" ref="C23:C34" si="0">C10</f>
        <v>subcritical</v>
      </c>
      <c r="E23" s="151">
        <f t="shared" ref="E23:E34" si="1">$F$7*100/K10</f>
        <v>5.5401662049861496E-3</v>
      </c>
      <c r="F23" s="151">
        <f t="shared" ref="F23:F34" si="2">$F$8*100/K10</f>
        <v>0.13019390581717452</v>
      </c>
      <c r="G23">
        <f t="shared" ref="G23:G34" si="3">F10</f>
        <v>0.68</v>
      </c>
      <c r="H23" s="20">
        <f>E23+F23+G23</f>
        <v>0.81573407202216075</v>
      </c>
      <c r="I23" s="20">
        <f>H23*K10/100</f>
        <v>0.29448000000000002</v>
      </c>
      <c r="J23" s="255"/>
      <c r="K23" s="255"/>
      <c r="L23" s="177"/>
      <c r="M23" s="177"/>
      <c r="N23" s="255">
        <f>SUM(E23:G23)</f>
        <v>0.81573407202216075</v>
      </c>
      <c r="O23" s="255"/>
    </row>
    <row r="24" spans="3:15">
      <c r="C24" t="str">
        <f t="shared" si="0"/>
        <v>+CCS</v>
      </c>
      <c r="E24" s="151">
        <f t="shared" si="1"/>
        <v>7.5471698113207548E-3</v>
      </c>
      <c r="F24" s="151">
        <f t="shared" si="2"/>
        <v>0.17735849056603775</v>
      </c>
      <c r="G24">
        <f t="shared" si="3"/>
        <v>1.31</v>
      </c>
      <c r="H24" s="20">
        <f t="shared" ref="H24:H34" si="4">E24+F24+G24</f>
        <v>1.4949056603773585</v>
      </c>
      <c r="I24" s="20">
        <f t="shared" ref="I24:I34" si="5">H24*K11/100</f>
        <v>0.39615</v>
      </c>
      <c r="J24" s="255"/>
      <c r="K24" s="255"/>
      <c r="L24" s="177"/>
      <c r="M24" s="177"/>
      <c r="N24" s="255">
        <f>SUM(E24:G24)</f>
        <v>1.4949056603773585</v>
      </c>
      <c r="O24" s="255"/>
    </row>
    <row r="25" spans="3:15">
      <c r="C25" t="str">
        <f t="shared" si="0"/>
        <v>ultracritical</v>
      </c>
      <c r="E25" s="151">
        <f t="shared" si="1"/>
        <v>4.3859649122807015E-3</v>
      </c>
      <c r="F25" s="151">
        <f t="shared" si="2"/>
        <v>0.10307017543859649</v>
      </c>
      <c r="G25">
        <f t="shared" si="3"/>
        <v>0.51</v>
      </c>
      <c r="H25" s="20">
        <f t="shared" si="4"/>
        <v>0.61745614035087715</v>
      </c>
      <c r="I25" s="20">
        <f t="shared" si="5"/>
        <v>0.28155999999999998</v>
      </c>
      <c r="J25" s="255">
        <f>$F$7*100/L12</f>
        <v>4.2735042735042739E-3</v>
      </c>
      <c r="K25" s="255">
        <f>$F$8*100/L12</f>
        <v>0.10042735042735043</v>
      </c>
      <c r="L25" s="177">
        <f>F12</f>
        <v>0.51</v>
      </c>
      <c r="M25" s="177"/>
      <c r="N25" s="255">
        <f>SUM(J25:L25)</f>
        <v>0.61470085470085467</v>
      </c>
      <c r="O25" s="255">
        <f>J25+K25+L25</f>
        <v>0.61470085470085467</v>
      </c>
    </row>
    <row r="26" spans="3:15">
      <c r="C26" t="str">
        <f t="shared" si="0"/>
        <v>+CCS</v>
      </c>
      <c r="E26" s="151">
        <f t="shared" si="1"/>
        <v>5.5710306406685246E-3</v>
      </c>
      <c r="F26" s="151">
        <f t="shared" si="2"/>
        <v>0.13091922005571033</v>
      </c>
      <c r="G26">
        <f t="shared" si="3"/>
        <v>0.93</v>
      </c>
      <c r="H26" s="20">
        <f t="shared" si="4"/>
        <v>1.0664902506963789</v>
      </c>
      <c r="I26" s="20">
        <f t="shared" si="5"/>
        <v>0.38286999999999999</v>
      </c>
      <c r="J26" s="255">
        <f>$F$7*100/L13</f>
        <v>5.1546391752577327E-3</v>
      </c>
      <c r="K26" s="255">
        <f>$F$8*100/L13</f>
        <v>0.12113402061855671</v>
      </c>
      <c r="L26" s="177">
        <f>F13</f>
        <v>0.93</v>
      </c>
      <c r="M26" s="177"/>
      <c r="N26" s="255">
        <f>SUM(J26:L26)</f>
        <v>1.0562886597938146</v>
      </c>
      <c r="O26" s="255">
        <f>J26+K26+L26</f>
        <v>1.0562886597938146</v>
      </c>
    </row>
    <row r="27" spans="3:15">
      <c r="C27" t="str">
        <f t="shared" si="0"/>
        <v>IGCC</v>
      </c>
      <c r="E27" s="151">
        <f t="shared" si="1"/>
        <v>4.9504950495049506E-3</v>
      </c>
      <c r="F27" s="151">
        <f t="shared" si="2"/>
        <v>0.11633663366336634</v>
      </c>
      <c r="G27">
        <f t="shared" si="3"/>
        <v>0.32</v>
      </c>
      <c r="H27" s="20">
        <f t="shared" si="4"/>
        <v>0.44128712871287129</v>
      </c>
      <c r="I27" s="20">
        <f t="shared" si="5"/>
        <v>0.17827999999999999</v>
      </c>
      <c r="J27" s="255">
        <f>$F$7*100/L14</f>
        <v>4.5766590389016018E-3</v>
      </c>
      <c r="K27" s="255">
        <f>$F$8*100/L14</f>
        <v>0.10755148741418764</v>
      </c>
      <c r="L27" s="177">
        <f>F14</f>
        <v>0.32</v>
      </c>
      <c r="M27" s="177"/>
      <c r="N27" s="255">
        <f>SUM(J27:L27)</f>
        <v>0.43212814645308928</v>
      </c>
      <c r="O27" s="255">
        <f>J27+K27+L27</f>
        <v>0.43212814645308928</v>
      </c>
    </row>
    <row r="28" spans="3:15">
      <c r="C28" t="str">
        <f t="shared" si="0"/>
        <v>+CCS</v>
      </c>
      <c r="E28" s="151">
        <f t="shared" si="1"/>
        <v>6.0975609756097572E-3</v>
      </c>
      <c r="F28" s="151">
        <f t="shared" si="2"/>
        <v>0.14329268292682928</v>
      </c>
      <c r="G28">
        <f t="shared" si="3"/>
        <v>0.57999999999999996</v>
      </c>
      <c r="H28" s="20">
        <f t="shared" si="4"/>
        <v>0.72939024390243901</v>
      </c>
      <c r="I28" s="20">
        <f t="shared" si="5"/>
        <v>0.23923999999999995</v>
      </c>
      <c r="J28" s="255">
        <f>$F$7*100/L15</f>
        <v>5.333333333333334E-3</v>
      </c>
      <c r="K28" s="255">
        <f>$F$8*100/L15</f>
        <v>0.12533333333333332</v>
      </c>
      <c r="L28" s="177">
        <f>F15</f>
        <v>0.57999999999999996</v>
      </c>
      <c r="M28" s="177"/>
      <c r="N28" s="255">
        <f>SUM(J28:L28)</f>
        <v>0.71066666666666656</v>
      </c>
      <c r="O28" s="255">
        <f>J28+K28+L28</f>
        <v>0.71066666666666656</v>
      </c>
    </row>
    <row r="29" spans="3:15">
      <c r="C29" t="str">
        <f t="shared" si="0"/>
        <v>IGCC(Best)</v>
      </c>
      <c r="E29" s="151">
        <f t="shared" si="1"/>
        <v>4.6296296296296294E-3</v>
      </c>
      <c r="F29" s="151">
        <f t="shared" si="2"/>
        <v>0.10879629629629629</v>
      </c>
      <c r="G29">
        <f t="shared" si="3"/>
        <v>0.39</v>
      </c>
      <c r="H29" s="20">
        <f t="shared" si="4"/>
        <v>0.50342592592592594</v>
      </c>
      <c r="I29" s="20">
        <f t="shared" si="5"/>
        <v>0.21748000000000001</v>
      </c>
      <c r="J29" s="255"/>
      <c r="K29" s="255"/>
      <c r="L29" s="177"/>
      <c r="M29" s="177"/>
      <c r="N29" s="255"/>
      <c r="O29" s="255"/>
    </row>
    <row r="30" spans="3:15">
      <c r="C30" t="str">
        <f t="shared" si="0"/>
        <v>+CCS</v>
      </c>
      <c r="E30" s="151">
        <f t="shared" si="1"/>
        <v>5.4945054945054949E-3</v>
      </c>
      <c r="F30" s="151">
        <f t="shared" si="2"/>
        <v>0.12912087912087913</v>
      </c>
      <c r="G30">
        <f t="shared" si="3"/>
        <v>0.72</v>
      </c>
      <c r="H30" s="20">
        <f t="shared" si="4"/>
        <v>0.85461538461538455</v>
      </c>
      <c r="I30" s="20">
        <f t="shared" si="5"/>
        <v>0.31107999999999997</v>
      </c>
      <c r="J30" s="255"/>
      <c r="K30" s="255"/>
      <c r="L30" s="177"/>
      <c r="M30" s="177"/>
      <c r="N30" s="255"/>
      <c r="O30" s="255"/>
    </row>
    <row r="31" spans="3:15">
      <c r="C31" t="str">
        <f t="shared" si="0"/>
        <v>CtL</v>
      </c>
      <c r="E31" s="151">
        <f t="shared" si="1"/>
        <v>4.9140049140049139E-3</v>
      </c>
      <c r="F31" s="151">
        <f t="shared" si="2"/>
        <v>0.11547911547911548</v>
      </c>
      <c r="G31">
        <f t="shared" si="3"/>
        <v>0.16</v>
      </c>
      <c r="H31" s="20">
        <f t="shared" si="4"/>
        <v>0.28039312039312037</v>
      </c>
      <c r="I31" s="20">
        <f t="shared" si="5"/>
        <v>0.11411999999999999</v>
      </c>
      <c r="J31" s="255"/>
      <c r="K31" s="255"/>
      <c r="L31" s="177"/>
      <c r="M31" s="177"/>
      <c r="N31" s="255">
        <f>SUM(E31:G31)</f>
        <v>0.28039312039312037</v>
      </c>
      <c r="O31" s="255"/>
    </row>
    <row r="32" spans="3:15">
      <c r="C32" t="str">
        <f t="shared" si="0"/>
        <v>+CCS</v>
      </c>
      <c r="E32" s="151">
        <f t="shared" si="1"/>
        <v>6.0606060606060606E-3</v>
      </c>
      <c r="F32" s="151">
        <f t="shared" si="2"/>
        <v>0.14242424242424243</v>
      </c>
      <c r="G32">
        <f t="shared" si="3"/>
        <v>0.24</v>
      </c>
      <c r="H32" s="20">
        <f t="shared" si="4"/>
        <v>0.38848484848484849</v>
      </c>
      <c r="I32" s="20">
        <f t="shared" si="5"/>
        <v>0.12820000000000001</v>
      </c>
      <c r="J32" s="255"/>
      <c r="K32" s="255"/>
      <c r="L32" s="177"/>
      <c r="M32" s="177"/>
      <c r="N32" s="255">
        <f>SUM(E32:G32)</f>
        <v>0.38848484848484849</v>
      </c>
      <c r="O32" s="255"/>
    </row>
    <row r="33" spans="3:15">
      <c r="C33" t="str">
        <f t="shared" si="0"/>
        <v>SNG</v>
      </c>
      <c r="E33" s="151">
        <f t="shared" si="1"/>
        <v>3.9215686274509803E-3</v>
      </c>
      <c r="F33" s="151">
        <f t="shared" si="2"/>
        <v>9.2156862745098045E-2</v>
      </c>
      <c r="G33">
        <f t="shared" si="3"/>
        <v>0.25</v>
      </c>
      <c r="H33" s="20">
        <f t="shared" si="4"/>
        <v>0.34607843137254901</v>
      </c>
      <c r="I33" s="20">
        <f t="shared" si="5"/>
        <v>0.17649999999999999</v>
      </c>
      <c r="J33" s="255">
        <f>$F$7*100/L20</f>
        <v>3.3613445378151263E-3</v>
      </c>
      <c r="K33" s="255">
        <f>$F$8*100/L20</f>
        <v>7.8991596638655459E-2</v>
      </c>
      <c r="L33" s="177">
        <f>F20</f>
        <v>0.25</v>
      </c>
      <c r="M33" s="177"/>
      <c r="N33" s="255">
        <f>SUM(E33:G33)</f>
        <v>0.34607843137254901</v>
      </c>
      <c r="O33" s="255">
        <f>J33+K33+L33</f>
        <v>0.33235294117647057</v>
      </c>
    </row>
    <row r="34" spans="3:15">
      <c r="C34" t="str">
        <f t="shared" si="0"/>
        <v>+CCS</v>
      </c>
      <c r="E34" s="151">
        <f t="shared" si="1"/>
        <v>3.9215686274509803E-3</v>
      </c>
      <c r="F34" s="151">
        <f t="shared" si="2"/>
        <v>9.2156862745098045E-2</v>
      </c>
      <c r="G34">
        <f t="shared" si="3"/>
        <v>0.24</v>
      </c>
      <c r="H34" s="20">
        <f t="shared" si="4"/>
        <v>0.336078431372549</v>
      </c>
      <c r="I34" s="20">
        <f t="shared" si="5"/>
        <v>0.1714</v>
      </c>
      <c r="J34" s="255">
        <f>$F$7*100/L21</f>
        <v>3.3613445378151263E-3</v>
      </c>
      <c r="K34" s="255">
        <f>$F$8*100/L21</f>
        <v>7.8991596638655459E-2</v>
      </c>
      <c r="L34" s="177">
        <f>F21</f>
        <v>0.24</v>
      </c>
      <c r="M34" s="177"/>
      <c r="N34" s="255">
        <f>SUM(E34:G34)</f>
        <v>0.336078431372549</v>
      </c>
      <c r="O34" s="255">
        <f>J34+K34+L34</f>
        <v>0.32235294117647056</v>
      </c>
    </row>
  </sheetData>
  <phoneticPr fontId="24" type="noConversion"/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Y35"/>
  <sheetViews>
    <sheetView topLeftCell="A29" workbookViewId="0">
      <selection activeCell="J25" sqref="J25"/>
    </sheetView>
  </sheetViews>
  <sheetFormatPr defaultRowHeight="13.5"/>
  <cols>
    <col min="18" max="18" width="15.375" customWidth="1"/>
  </cols>
  <sheetData>
    <row r="1" spans="1:19">
      <c r="A1" s="146" t="s">
        <v>206</v>
      </c>
      <c r="B1" s="37"/>
      <c r="C1" s="37"/>
      <c r="D1" s="38"/>
    </row>
    <row r="2" spans="1:19">
      <c r="A2" s="147" t="s">
        <v>207</v>
      </c>
      <c r="B2" s="35"/>
      <c r="C2" s="35">
        <v>1.5</v>
      </c>
      <c r="D2" s="148" t="s">
        <v>236</v>
      </c>
      <c r="S2" t="s">
        <v>235</v>
      </c>
    </row>
    <row r="3" spans="1:19">
      <c r="A3" s="147" t="s">
        <v>237</v>
      </c>
      <c r="B3" s="35"/>
      <c r="C3" s="35">
        <v>1.2</v>
      </c>
      <c r="D3" s="148" t="s">
        <v>236</v>
      </c>
    </row>
    <row r="4" spans="1:19">
      <c r="A4" s="147" t="s">
        <v>238</v>
      </c>
      <c r="B4" s="35"/>
      <c r="C4" s="35">
        <v>0.14399999999999999</v>
      </c>
      <c r="D4" s="148" t="s">
        <v>239</v>
      </c>
    </row>
    <row r="5" spans="1:19" ht="14.25" thickBot="1">
      <c r="A5" s="149" t="s">
        <v>208</v>
      </c>
      <c r="B5" s="42"/>
      <c r="C5" s="42">
        <v>0.98</v>
      </c>
      <c r="D5" s="43"/>
      <c r="K5" s="138" t="s">
        <v>252</v>
      </c>
    </row>
    <row r="6" spans="1:19">
      <c r="J6" s="138" t="s">
        <v>241</v>
      </c>
      <c r="K6" s="138" t="s">
        <v>253</v>
      </c>
      <c r="L6" s="138" t="s">
        <v>254</v>
      </c>
      <c r="M6" s="138" t="s">
        <v>255</v>
      </c>
      <c r="N6" s="138" t="s">
        <v>257</v>
      </c>
      <c r="O6" s="138" t="s">
        <v>253</v>
      </c>
      <c r="P6" s="138" t="s">
        <v>254</v>
      </c>
      <c r="Q6" s="138" t="s">
        <v>323</v>
      </c>
      <c r="R6" s="138" t="s">
        <v>244</v>
      </c>
    </row>
    <row r="7" spans="1:19" ht="14.25">
      <c r="A7" t="s">
        <v>195</v>
      </c>
      <c r="C7" s="137">
        <v>13</v>
      </c>
      <c r="D7" s="138" t="s">
        <v>196</v>
      </c>
      <c r="E7" s="138" t="s">
        <v>200</v>
      </c>
      <c r="G7" s="145">
        <f>C7*C2*C3/C4/C5</f>
        <v>165.81632653061226</v>
      </c>
      <c r="H7" s="138" t="s">
        <v>202</v>
      </c>
      <c r="I7">
        <f>297.7*3.6</f>
        <v>1071.72</v>
      </c>
      <c r="J7" s="138" t="s">
        <v>242</v>
      </c>
      <c r="K7" s="138">
        <v>2.5270000000000001</v>
      </c>
      <c r="L7" s="138">
        <v>2.1000000000000001E-2</v>
      </c>
      <c r="M7" s="138">
        <v>0.33</v>
      </c>
      <c r="N7" s="145">
        <f>G7*3.6*(K7+L7+M7)</f>
        <v>1717.9897959183675</v>
      </c>
      <c r="O7" s="145">
        <f>G7*3.6*(K7)</f>
        <v>1508.4642857142858</v>
      </c>
      <c r="P7" s="145">
        <f>G7*3.6*(L7)</f>
        <v>12.535714285714286</v>
      </c>
      <c r="Q7" s="145">
        <f>G7*3.6*(M7)</f>
        <v>196.98979591836735</v>
      </c>
      <c r="R7" s="145">
        <f>G7*I7/1000</f>
        <v>177.70867346938778</v>
      </c>
      <c r="S7" t="s">
        <v>197</v>
      </c>
    </row>
    <row r="8" spans="1:19" ht="14.25">
      <c r="A8" t="s">
        <v>194</v>
      </c>
      <c r="C8">
        <v>180</v>
      </c>
      <c r="D8" s="138" t="s">
        <v>196</v>
      </c>
      <c r="E8" s="138" t="s">
        <v>200</v>
      </c>
      <c r="G8" s="145">
        <f>C8*C3/C4/C5</f>
        <v>1530.6122448979593</v>
      </c>
      <c r="H8" s="138" t="s">
        <v>202</v>
      </c>
      <c r="I8">
        <f>I7</f>
        <v>1071.72</v>
      </c>
      <c r="J8" s="138" t="s">
        <v>242</v>
      </c>
      <c r="K8" s="138">
        <v>2.5270000000000001</v>
      </c>
      <c r="L8" s="138">
        <v>2.1000000000000001E-2</v>
      </c>
      <c r="M8" s="138">
        <v>0.33</v>
      </c>
      <c r="N8" s="145">
        <f t="shared" ref="N8:N15" si="0">G8*3.6*(K8+L8+M8)</f>
        <v>15858.367346938778</v>
      </c>
      <c r="O8" s="145">
        <f t="shared" ref="O8:O15" si="1">G8*3.6*(K8)</f>
        <v>13924.285714285716</v>
      </c>
      <c r="P8" s="145">
        <f t="shared" ref="P8:P15" si="2">G8*3.6*(L8)</f>
        <v>115.71428571428574</v>
      </c>
      <c r="Q8" s="145">
        <f t="shared" ref="Q8:Q15" si="3">G8*3.6*(M8)</f>
        <v>1818.3673469387757</v>
      </c>
      <c r="R8" s="145">
        <f t="shared" ref="R8:R14" si="4">G8*I8/1000</f>
        <v>1640.387755102041</v>
      </c>
      <c r="S8" t="s">
        <v>193</v>
      </c>
    </row>
    <row r="9" spans="1:19" ht="14.25">
      <c r="C9">
        <v>140</v>
      </c>
      <c r="D9" s="138" t="s">
        <v>198</v>
      </c>
      <c r="E9" s="138" t="s">
        <v>201</v>
      </c>
      <c r="G9" s="145">
        <f>C9*C3/C4/C5*2.066/3.6</f>
        <v>683.20105820105823</v>
      </c>
      <c r="H9" s="138" t="s">
        <v>202</v>
      </c>
      <c r="I9">
        <f>3.6*104.5</f>
        <v>376.2</v>
      </c>
      <c r="J9" s="138" t="s">
        <v>242</v>
      </c>
      <c r="K9" s="138">
        <v>1.0609999999999999</v>
      </c>
      <c r="L9" s="138">
        <v>1E-3</v>
      </c>
      <c r="M9" s="138">
        <v>0.11</v>
      </c>
      <c r="N9" s="145">
        <f t="shared" si="0"/>
        <v>2882.5619047619048</v>
      </c>
      <c r="O9" s="145">
        <f t="shared" si="1"/>
        <v>2609.554761904762</v>
      </c>
      <c r="P9" s="145">
        <f t="shared" si="2"/>
        <v>2.4595238095238097</v>
      </c>
      <c r="Q9" s="145">
        <f t="shared" si="3"/>
        <v>270.54761904761904</v>
      </c>
      <c r="R9" s="145">
        <f t="shared" si="4"/>
        <v>257.02023809523808</v>
      </c>
    </row>
    <row r="10" spans="1:19" ht="14.25">
      <c r="A10" s="138" t="s">
        <v>199</v>
      </c>
      <c r="C10">
        <v>625</v>
      </c>
      <c r="D10" s="138" t="s">
        <v>202</v>
      </c>
      <c r="E10" s="138" t="s">
        <v>200</v>
      </c>
      <c r="G10">
        <f t="shared" ref="G10:H14" si="5">C10</f>
        <v>625</v>
      </c>
      <c r="H10" t="str">
        <f t="shared" si="5"/>
        <v>kWh/kWp</v>
      </c>
      <c r="I10">
        <f>I8</f>
        <v>1071.72</v>
      </c>
      <c r="J10" s="138" t="s">
        <v>242</v>
      </c>
      <c r="K10" s="138">
        <v>2.5270000000000001</v>
      </c>
      <c r="L10" s="138">
        <v>2.1000000000000001E-2</v>
      </c>
      <c r="M10" s="138">
        <v>0.33</v>
      </c>
      <c r="N10" s="145">
        <f t="shared" si="0"/>
        <v>6475.5</v>
      </c>
      <c r="O10" s="145">
        <f t="shared" si="1"/>
        <v>5685.75</v>
      </c>
      <c r="P10" s="145">
        <f t="shared" si="2"/>
        <v>47.25</v>
      </c>
      <c r="Q10" s="145">
        <f t="shared" si="3"/>
        <v>742.5</v>
      </c>
      <c r="R10" s="145">
        <f t="shared" si="4"/>
        <v>669.82500000000005</v>
      </c>
    </row>
    <row r="11" spans="1:19" ht="14.25">
      <c r="A11" s="138" t="s">
        <v>203</v>
      </c>
      <c r="C11">
        <v>200</v>
      </c>
      <c r="D11" s="138" t="s">
        <v>202</v>
      </c>
      <c r="E11" s="138" t="s">
        <v>200</v>
      </c>
      <c r="G11">
        <f t="shared" si="5"/>
        <v>200</v>
      </c>
      <c r="H11" t="str">
        <f t="shared" si="5"/>
        <v>kWh/kWp</v>
      </c>
      <c r="I11">
        <f>I10</f>
        <v>1071.72</v>
      </c>
      <c r="J11" s="138" t="s">
        <v>242</v>
      </c>
      <c r="K11" s="138">
        <v>2.5270000000000001</v>
      </c>
      <c r="L11" s="138">
        <v>2.1000000000000001E-2</v>
      </c>
      <c r="M11" s="138">
        <v>0.33</v>
      </c>
      <c r="N11" s="145">
        <f t="shared" si="0"/>
        <v>2072.16</v>
      </c>
      <c r="O11" s="145">
        <f t="shared" si="1"/>
        <v>1819.44</v>
      </c>
      <c r="P11" s="145">
        <f t="shared" si="2"/>
        <v>15.120000000000001</v>
      </c>
      <c r="Q11" s="145">
        <f t="shared" si="3"/>
        <v>237.60000000000002</v>
      </c>
      <c r="R11" s="145">
        <f t="shared" si="4"/>
        <v>214.34399999999999</v>
      </c>
    </row>
    <row r="12" spans="1:19" ht="14.25">
      <c r="A12" s="138" t="s">
        <v>204</v>
      </c>
      <c r="C12">
        <v>150</v>
      </c>
      <c r="D12" s="138" t="s">
        <v>202</v>
      </c>
      <c r="E12" s="138" t="s">
        <v>200</v>
      </c>
      <c r="G12">
        <f t="shared" si="5"/>
        <v>150</v>
      </c>
      <c r="H12" t="str">
        <f t="shared" si="5"/>
        <v>kWh/kWp</v>
      </c>
      <c r="I12">
        <f>I11</f>
        <v>1071.72</v>
      </c>
      <c r="J12" s="138" t="s">
        <v>242</v>
      </c>
      <c r="K12" s="138">
        <v>2.5270000000000001</v>
      </c>
      <c r="L12" s="138">
        <v>2.1000000000000001E-2</v>
      </c>
      <c r="M12" s="138">
        <v>0.33</v>
      </c>
      <c r="N12" s="145">
        <f t="shared" si="0"/>
        <v>1554.1200000000001</v>
      </c>
      <c r="O12" s="145">
        <f t="shared" si="1"/>
        <v>1364.5800000000002</v>
      </c>
      <c r="P12" s="145">
        <f t="shared" si="2"/>
        <v>11.34</v>
      </c>
      <c r="Q12" s="145">
        <f t="shared" si="3"/>
        <v>178.20000000000002</v>
      </c>
      <c r="R12" s="145">
        <f t="shared" si="4"/>
        <v>160.75800000000001</v>
      </c>
    </row>
    <row r="13" spans="1:19" ht="14.25">
      <c r="A13" s="138" t="s">
        <v>205</v>
      </c>
      <c r="C13">
        <v>150</v>
      </c>
      <c r="D13" s="138" t="s">
        <v>202</v>
      </c>
      <c r="E13" s="138" t="s">
        <v>200</v>
      </c>
      <c r="G13">
        <f t="shared" si="5"/>
        <v>150</v>
      </c>
      <c r="H13" t="str">
        <f t="shared" si="5"/>
        <v>kWh/kWp</v>
      </c>
      <c r="I13">
        <f>I12</f>
        <v>1071.72</v>
      </c>
      <c r="J13" s="138" t="s">
        <v>242</v>
      </c>
      <c r="K13" s="138">
        <v>2.5270000000000001</v>
      </c>
      <c r="L13" s="138">
        <v>2.1000000000000001E-2</v>
      </c>
      <c r="M13" s="138">
        <v>0.33</v>
      </c>
      <c r="N13" s="145">
        <f t="shared" si="0"/>
        <v>1554.1200000000001</v>
      </c>
      <c r="O13" s="145">
        <f t="shared" si="1"/>
        <v>1364.5800000000002</v>
      </c>
      <c r="P13" s="145">
        <f t="shared" si="2"/>
        <v>11.34</v>
      </c>
      <c r="Q13" s="145">
        <f t="shared" si="3"/>
        <v>178.20000000000002</v>
      </c>
      <c r="R13" s="145">
        <f t="shared" si="4"/>
        <v>160.75800000000001</v>
      </c>
    </row>
    <row r="14" spans="1:19" ht="14.25">
      <c r="A14" s="138" t="s">
        <v>209</v>
      </c>
      <c r="C14">
        <v>737</v>
      </c>
      <c r="D14" s="138" t="s">
        <v>202</v>
      </c>
      <c r="E14" s="138" t="s">
        <v>210</v>
      </c>
      <c r="G14">
        <f t="shared" si="5"/>
        <v>737</v>
      </c>
      <c r="H14" t="str">
        <f t="shared" si="5"/>
        <v>kWh/kWp</v>
      </c>
      <c r="I14">
        <f>I13</f>
        <v>1071.72</v>
      </c>
      <c r="J14" s="138" t="s">
        <v>242</v>
      </c>
      <c r="K14" s="138">
        <v>2.5270000000000001</v>
      </c>
      <c r="L14" s="138">
        <v>2.1000000000000001E-2</v>
      </c>
      <c r="M14" s="138">
        <v>0.33</v>
      </c>
      <c r="N14" s="145">
        <f t="shared" si="0"/>
        <v>7635.9096000000009</v>
      </c>
      <c r="O14" s="145">
        <f t="shared" si="1"/>
        <v>6704.6364000000012</v>
      </c>
      <c r="P14" s="145">
        <f t="shared" si="2"/>
        <v>55.717200000000012</v>
      </c>
      <c r="Q14" s="145">
        <f t="shared" si="3"/>
        <v>875.55600000000015</v>
      </c>
      <c r="R14" s="145">
        <f t="shared" si="4"/>
        <v>789.85764000000006</v>
      </c>
    </row>
    <row r="15" spans="1:19" ht="14.25">
      <c r="A15" s="138" t="s">
        <v>211</v>
      </c>
      <c r="C15">
        <f>C16*C17/1000*C18</f>
        <v>2.7</v>
      </c>
      <c r="D15" s="138" t="s">
        <v>216</v>
      </c>
      <c r="E15" s="138" t="s">
        <v>212</v>
      </c>
      <c r="G15">
        <f>C15*43/3.6</f>
        <v>32.25</v>
      </c>
      <c r="H15" s="138" t="s">
        <v>240</v>
      </c>
      <c r="I15">
        <f>102.4*3.6</f>
        <v>368.64000000000004</v>
      </c>
      <c r="J15" s="138" t="s">
        <v>242</v>
      </c>
      <c r="K15" s="138">
        <v>0.156</v>
      </c>
      <c r="L15" s="138">
        <v>2.7E-2</v>
      </c>
      <c r="M15" s="138">
        <v>1.119</v>
      </c>
      <c r="N15" s="145">
        <f t="shared" si="0"/>
        <v>151.16220000000001</v>
      </c>
      <c r="O15" s="145">
        <f t="shared" si="1"/>
        <v>18.111600000000003</v>
      </c>
      <c r="P15" s="145">
        <f t="shared" si="2"/>
        <v>3.1347</v>
      </c>
      <c r="Q15" s="145">
        <f t="shared" si="3"/>
        <v>129.91590000000002</v>
      </c>
      <c r="R15" s="145">
        <f>G15*I15/1000</f>
        <v>11.888640000000001</v>
      </c>
    </row>
    <row r="16" spans="1:19">
      <c r="C16" s="138">
        <v>450</v>
      </c>
      <c r="D16" s="138" t="s">
        <v>213</v>
      </c>
    </row>
    <row r="17" spans="1:25">
      <c r="C17">
        <v>0.06</v>
      </c>
      <c r="D17" s="138" t="s">
        <v>214</v>
      </c>
    </row>
    <row r="18" spans="1:25">
      <c r="C18">
        <v>100</v>
      </c>
      <c r="D18" s="138" t="s">
        <v>215</v>
      </c>
      <c r="N18" s="138" t="s">
        <v>327</v>
      </c>
      <c r="O18" s="138"/>
      <c r="P18" s="138"/>
      <c r="Q18" s="138"/>
    </row>
    <row r="19" spans="1:25">
      <c r="A19" s="138" t="s">
        <v>243</v>
      </c>
      <c r="G19" s="51">
        <f>SUM(G7:G15)</f>
        <v>4273.8796296296296</v>
      </c>
      <c r="H19" t="str">
        <f>H15</f>
        <v>kWh/kWp</v>
      </c>
      <c r="N19" s="51">
        <f>SUM(N7:N15)</f>
        <v>39901.890847619048</v>
      </c>
      <c r="O19" s="51">
        <f>SUM(O7:O15)</f>
        <v>34999.402761904763</v>
      </c>
      <c r="P19" s="51">
        <f>SUM(P7:P15)</f>
        <v>274.61142380952384</v>
      </c>
      <c r="Q19" s="51">
        <f>SUM(Q7:Q15)</f>
        <v>4627.8766619047619</v>
      </c>
      <c r="R19" s="51">
        <f>SUM(R7:R15)</f>
        <v>4082.5479466666666</v>
      </c>
    </row>
    <row r="20" spans="1:25">
      <c r="E20" s="138" t="s">
        <v>249</v>
      </c>
      <c r="F20" s="138" t="s">
        <v>250</v>
      </c>
    </row>
    <row r="21" spans="1:25" ht="14.25">
      <c r="A21" s="138" t="s">
        <v>245</v>
      </c>
      <c r="C21" s="138" t="s">
        <v>246</v>
      </c>
      <c r="D21">
        <v>2453</v>
      </c>
      <c r="E21">
        <v>0.75</v>
      </c>
      <c r="F21">
        <v>0.8</v>
      </c>
      <c r="G21">
        <f>D21*E21</f>
        <v>1839.75</v>
      </c>
      <c r="I21">
        <f>297.7*3.6</f>
        <v>1071.72</v>
      </c>
      <c r="J21" s="138" t="s">
        <v>242</v>
      </c>
      <c r="K21" s="138"/>
      <c r="L21" s="138"/>
      <c r="M21" s="138" t="s">
        <v>256</v>
      </c>
      <c r="N21" s="138">
        <f>G21*3.6*30</f>
        <v>198693</v>
      </c>
      <c r="O21" s="138"/>
      <c r="P21" s="138"/>
      <c r="Q21" s="138"/>
      <c r="R21" s="145">
        <f>G21*I21/1000</f>
        <v>1971.6968700000002</v>
      </c>
    </row>
    <row r="22" spans="1:25" ht="14.25">
      <c r="C22" s="138" t="s">
        <v>248</v>
      </c>
      <c r="D22">
        <v>1557</v>
      </c>
      <c r="E22">
        <v>0.75</v>
      </c>
      <c r="F22">
        <v>0.8</v>
      </c>
      <c r="G22">
        <f>D22*E22</f>
        <v>1167.75</v>
      </c>
      <c r="I22">
        <f>297.7*3.6</f>
        <v>1071.72</v>
      </c>
      <c r="J22" s="138" t="s">
        <v>242</v>
      </c>
      <c r="K22" s="138"/>
      <c r="L22" s="138"/>
      <c r="M22" s="138" t="s">
        <v>256</v>
      </c>
      <c r="N22" s="138">
        <f>G22*3.6*30</f>
        <v>126117.00000000001</v>
      </c>
      <c r="O22" s="138"/>
      <c r="P22" s="138"/>
      <c r="Q22" s="138"/>
      <c r="R22" s="145">
        <f>G22*I22/1000</f>
        <v>1251.5010300000001</v>
      </c>
    </row>
    <row r="23" spans="1:25" ht="14.25">
      <c r="C23" s="138" t="s">
        <v>247</v>
      </c>
      <c r="D23">
        <v>843.1</v>
      </c>
      <c r="E23">
        <v>0.75</v>
      </c>
      <c r="F23">
        <v>0.8</v>
      </c>
      <c r="G23">
        <f>D23*E23</f>
        <v>632.32500000000005</v>
      </c>
      <c r="I23">
        <f>297.7*3.6</f>
        <v>1071.72</v>
      </c>
      <c r="J23" s="138" t="s">
        <v>242</v>
      </c>
      <c r="K23" s="138"/>
      <c r="L23" s="138"/>
      <c r="M23" s="138" t="s">
        <v>256</v>
      </c>
      <c r="N23" s="138">
        <f>G23*3.6*30</f>
        <v>68291.100000000006</v>
      </c>
      <c r="O23" s="138"/>
      <c r="P23" s="138"/>
      <c r="Q23" s="138"/>
      <c r="R23" s="145">
        <f>G23*I23/1000</f>
        <v>677.6753490000001</v>
      </c>
    </row>
    <row r="24" spans="1:25">
      <c r="U24" t="str">
        <f>O6</f>
        <v>coal</v>
      </c>
      <c r="V24" t="str">
        <f>P6</f>
        <v>NG</v>
      </c>
      <c r="W24" t="str">
        <f>Q6</f>
        <v>oil</v>
      </c>
      <c r="X24" s="138" t="s">
        <v>263</v>
      </c>
      <c r="Y24" s="138" t="s">
        <v>262</v>
      </c>
    </row>
    <row r="25" spans="1:25">
      <c r="A25" s="138" t="s">
        <v>251</v>
      </c>
      <c r="C25" s="138" t="s">
        <v>246</v>
      </c>
      <c r="F25" s="138" t="s">
        <v>258</v>
      </c>
      <c r="G25" s="150">
        <f>G19/G21</f>
        <v>2.3230763036443154</v>
      </c>
      <c r="M25" s="138" t="s">
        <v>259</v>
      </c>
      <c r="N25" s="150">
        <f>N19/N21*30/3.26</f>
        <v>1.8480536030390682</v>
      </c>
      <c r="O25" s="150"/>
      <c r="P25" s="150"/>
      <c r="Q25" s="150"/>
      <c r="R25" s="150">
        <f>R19/R21</f>
        <v>2.0705758622351853</v>
      </c>
      <c r="S25" s="138" t="s">
        <v>260</v>
      </c>
      <c r="U25" s="20">
        <f>O19/N21</f>
        <v>0.17614814191695108</v>
      </c>
      <c r="V25" s="20">
        <f>P19/N21</f>
        <v>1.382089071127437E-3</v>
      </c>
      <c r="W25" s="20">
        <f>Q19/N21</f>
        <v>2.3291593875500203E-2</v>
      </c>
      <c r="X25" s="150">
        <f>R19/R21/30*297.7</f>
        <v>20.547014472913819</v>
      </c>
      <c r="Y25" s="150">
        <f>R19/R21/30*273.3</f>
        <v>18.862946104962536</v>
      </c>
    </row>
    <row r="26" spans="1:25">
      <c r="C26" s="138" t="s">
        <v>248</v>
      </c>
      <c r="G26" s="150">
        <f>G19/G22</f>
        <v>3.6599268932816353</v>
      </c>
      <c r="N26" s="150">
        <f>N19/N22*30/3.26</f>
        <v>2.9115449507095916</v>
      </c>
      <c r="O26" s="150"/>
      <c r="P26" s="150"/>
      <c r="Q26" s="150"/>
      <c r="R26" s="150">
        <f>R19/R22</f>
        <v>3.2621211239967307</v>
      </c>
      <c r="U26" s="20">
        <f>O19/N22</f>
        <v>0.27751534497256325</v>
      </c>
      <c r="V26" s="20">
        <f>P19/N22</f>
        <v>2.1774338416670536E-3</v>
      </c>
      <c r="W26" s="20">
        <f>Q19/N22</f>
        <v>3.6695105829545271E-2</v>
      </c>
      <c r="X26" s="150">
        <f>R19/R22/30*297.7</f>
        <v>32.371115287127559</v>
      </c>
      <c r="Y26" s="150">
        <f>R21/R22/30*273.3</f>
        <v>14.352491971740529</v>
      </c>
    </row>
    <row r="27" spans="1:25" ht="14.25" thickBot="1">
      <c r="C27" s="138" t="s">
        <v>247</v>
      </c>
      <c r="G27" s="150">
        <f>G19/G23</f>
        <v>6.7589920209221983</v>
      </c>
      <c r="N27" s="150">
        <f>N19/N23*30/3.26</f>
        <v>5.3769131636280791</v>
      </c>
      <c r="O27" s="150"/>
      <c r="P27" s="150"/>
      <c r="Q27" s="150"/>
      <c r="R27" s="150">
        <f>R19/R23</f>
        <v>6.0243418219225591</v>
      </c>
      <c r="U27" s="20">
        <f>O19/N23</f>
        <v>0.51250313381838575</v>
      </c>
      <c r="V27" s="20">
        <f>P19/N23</f>
        <v>4.0211890540571733E-3</v>
      </c>
      <c r="W27" s="20">
        <f>Q19/N23</f>
        <v>6.7766907575141727E-2</v>
      </c>
      <c r="X27" s="150">
        <f>R19/R23/30*297.7</f>
        <v>59.781552012878194</v>
      </c>
      <c r="Y27" s="150">
        <f>R19/R23/30*273.3</f>
        <v>54.881753997714512</v>
      </c>
    </row>
    <row r="28" spans="1:25" ht="67.5">
      <c r="A28" s="146" t="s">
        <v>347</v>
      </c>
      <c r="B28" s="37"/>
      <c r="C28" s="37"/>
      <c r="D28" s="202" t="s">
        <v>257</v>
      </c>
      <c r="E28" s="38" t="str">
        <f>R6</f>
        <v>GHG(kg/kWp)</v>
      </c>
      <c r="I28" s="213" t="str">
        <f>A21</f>
        <v>annual hours</v>
      </c>
      <c r="J28" s="214" t="str">
        <f t="shared" ref="J28:K31" si="6">E20</f>
        <v>use rate for building</v>
      </c>
      <c r="K28" s="214" t="str">
        <f t="shared" si="6"/>
        <v>use rate for powerplant</v>
      </c>
      <c r="L28" s="215" t="s">
        <v>348</v>
      </c>
      <c r="N28" s="216" t="s">
        <v>350</v>
      </c>
      <c r="O28" s="215" t="s">
        <v>351</v>
      </c>
      <c r="P28" s="215" t="s">
        <v>349</v>
      </c>
    </row>
    <row r="29" spans="1:25">
      <c r="A29" s="147" t="s">
        <v>340</v>
      </c>
      <c r="B29" s="35"/>
      <c r="C29" s="35"/>
      <c r="D29" s="99">
        <f>N7</f>
        <v>1717.9897959183675</v>
      </c>
      <c r="E29" s="210">
        <f>R7</f>
        <v>177.70867346938778</v>
      </c>
      <c r="H29" s="39" t="str">
        <f t="shared" ref="H29:I31" si="7">C21</f>
        <v>best</v>
      </c>
      <c r="I29" s="35">
        <f t="shared" si="7"/>
        <v>2453</v>
      </c>
      <c r="J29" s="35">
        <f t="shared" si="6"/>
        <v>0.75</v>
      </c>
      <c r="K29" s="35">
        <f t="shared" si="6"/>
        <v>0.8</v>
      </c>
      <c r="L29" s="210">
        <f>N21</f>
        <v>198693</v>
      </c>
      <c r="N29" s="217">
        <f>G25</f>
        <v>2.3230763036443154</v>
      </c>
      <c r="O29" s="218">
        <f>N25</f>
        <v>1.8480536030390682</v>
      </c>
      <c r="P29" s="219">
        <f>R25</f>
        <v>2.0705758622351853</v>
      </c>
    </row>
    <row r="30" spans="1:25">
      <c r="A30" s="147" t="s">
        <v>341</v>
      </c>
      <c r="B30" s="35"/>
      <c r="C30" s="35"/>
      <c r="D30" s="99">
        <f>N8+N9</f>
        <v>18740.929251700683</v>
      </c>
      <c r="E30" s="210">
        <f>R8+R9</f>
        <v>1897.407993197279</v>
      </c>
      <c r="H30" s="39" t="str">
        <f t="shared" si="7"/>
        <v>average</v>
      </c>
      <c r="I30" s="35">
        <f t="shared" si="7"/>
        <v>1557</v>
      </c>
      <c r="J30" s="35">
        <f t="shared" si="6"/>
        <v>0.75</v>
      </c>
      <c r="K30" s="35">
        <f t="shared" si="6"/>
        <v>0.8</v>
      </c>
      <c r="L30" s="210">
        <f>N22</f>
        <v>126117.00000000001</v>
      </c>
      <c r="N30" s="217">
        <f>G26</f>
        <v>3.6599268932816353</v>
      </c>
      <c r="O30" s="218">
        <f>N26</f>
        <v>2.9115449507095916</v>
      </c>
      <c r="P30" s="219">
        <f>R26</f>
        <v>3.2621211239967307</v>
      </c>
    </row>
    <row r="31" spans="1:25" ht="14.25" thickBot="1">
      <c r="A31" s="147" t="s">
        <v>342</v>
      </c>
      <c r="B31" s="35"/>
      <c r="C31" s="35"/>
      <c r="D31" s="99">
        <f>N10+N11</f>
        <v>8547.66</v>
      </c>
      <c r="E31" s="210">
        <f>R10+R11</f>
        <v>884.1690000000001</v>
      </c>
      <c r="H31" s="41" t="str">
        <f t="shared" si="7"/>
        <v>worst</v>
      </c>
      <c r="I31" s="42">
        <f t="shared" si="7"/>
        <v>843.1</v>
      </c>
      <c r="J31" s="42">
        <f t="shared" si="6"/>
        <v>0.75</v>
      </c>
      <c r="K31" s="42">
        <f t="shared" si="6"/>
        <v>0.8</v>
      </c>
      <c r="L31" s="212">
        <f>N23</f>
        <v>68291.100000000006</v>
      </c>
      <c r="N31" s="220">
        <f>G27</f>
        <v>6.7589920209221983</v>
      </c>
      <c r="O31" s="221">
        <f>N27</f>
        <v>5.3769131636280791</v>
      </c>
      <c r="P31" s="222">
        <f>R27</f>
        <v>6.0243418219225591</v>
      </c>
    </row>
    <row r="32" spans="1:25">
      <c r="A32" s="147" t="s">
        <v>343</v>
      </c>
      <c r="B32" s="35"/>
      <c r="C32" s="35"/>
      <c r="D32" s="99">
        <f>N12</f>
        <v>1554.1200000000001</v>
      </c>
      <c r="E32" s="210">
        <f>R12</f>
        <v>160.75800000000001</v>
      </c>
    </row>
    <row r="33" spans="1:5">
      <c r="A33" s="147" t="s">
        <v>344</v>
      </c>
      <c r="B33" s="35"/>
      <c r="C33" s="35"/>
      <c r="D33" s="99">
        <f>N13</f>
        <v>1554.1200000000001</v>
      </c>
      <c r="E33" s="210">
        <f>R13</f>
        <v>160.75800000000001</v>
      </c>
    </row>
    <row r="34" spans="1:5">
      <c r="A34" s="147" t="s">
        <v>345</v>
      </c>
      <c r="B34" s="35"/>
      <c r="C34" s="35"/>
      <c r="D34" s="99">
        <f>N14</f>
        <v>7635.9096000000009</v>
      </c>
      <c r="E34" s="210">
        <f>R14</f>
        <v>789.85764000000006</v>
      </c>
    </row>
    <row r="35" spans="1:5" ht="14.25" thickBot="1">
      <c r="A35" s="149" t="s">
        <v>346</v>
      </c>
      <c r="B35" s="42"/>
      <c r="C35" s="42"/>
      <c r="D35" s="211">
        <f>N15</f>
        <v>151.16220000000001</v>
      </c>
      <c r="E35" s="212">
        <f>R15</f>
        <v>11.888640000000001</v>
      </c>
    </row>
  </sheetData>
  <phoneticPr fontId="25" type="noConversion"/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J25" sqref="J25"/>
    </sheetView>
  </sheetViews>
  <sheetFormatPr defaultRowHeight="13.5"/>
  <cols>
    <col min="2" max="3" width="17.25" customWidth="1"/>
    <col min="4" max="4" width="11.875" customWidth="1"/>
  </cols>
  <sheetData>
    <row r="1" spans="1:7" ht="16.5" thickTop="1" thickBot="1">
      <c r="A1" s="139" t="s">
        <v>217</v>
      </c>
      <c r="B1" s="139" t="s">
        <v>218</v>
      </c>
      <c r="C1" s="139" t="s">
        <v>218</v>
      </c>
      <c r="D1" s="139" t="s">
        <v>219</v>
      </c>
      <c r="E1" s="139" t="s">
        <v>220</v>
      </c>
    </row>
    <row r="2" spans="1:7" ht="15">
      <c r="A2" s="140" t="s">
        <v>221</v>
      </c>
      <c r="B2" s="141" t="s">
        <v>222</v>
      </c>
      <c r="C2" s="141">
        <v>13</v>
      </c>
      <c r="D2" s="141">
        <v>198</v>
      </c>
      <c r="E2" s="142">
        <v>4.26</v>
      </c>
      <c r="F2">
        <f>D2/C2</f>
        <v>15.23076923076923</v>
      </c>
      <c r="G2">
        <f>F2/F3</f>
        <v>1.2976561644225817</v>
      </c>
    </row>
    <row r="3" spans="1:7" ht="15">
      <c r="A3" s="140" t="s">
        <v>223</v>
      </c>
      <c r="B3" s="141" t="s">
        <v>224</v>
      </c>
      <c r="C3" s="141">
        <v>283</v>
      </c>
      <c r="D3" s="141">
        <v>3321.61</v>
      </c>
      <c r="E3" s="142">
        <v>71.510000000000005</v>
      </c>
      <c r="F3">
        <f>D3/C3</f>
        <v>11.73713780918728</v>
      </c>
    </row>
    <row r="4" spans="1:7" ht="15">
      <c r="A4" s="140" t="s">
        <v>225</v>
      </c>
      <c r="B4" s="141" t="s">
        <v>226</v>
      </c>
      <c r="C4" s="141" t="s">
        <v>234</v>
      </c>
      <c r="D4" s="141">
        <v>625</v>
      </c>
      <c r="E4" s="142">
        <v>13.45</v>
      </c>
    </row>
    <row r="5" spans="1:7" ht="15">
      <c r="A5" s="140" t="s">
        <v>227</v>
      </c>
      <c r="B5" s="141" t="s">
        <v>228</v>
      </c>
      <c r="C5" s="141" t="s">
        <v>228</v>
      </c>
      <c r="D5" s="141">
        <v>200</v>
      </c>
      <c r="E5" s="142">
        <v>4.32</v>
      </c>
    </row>
    <row r="6" spans="1:7" ht="15">
      <c r="A6" s="140" t="s">
        <v>229</v>
      </c>
      <c r="B6" s="141" t="s">
        <v>230</v>
      </c>
      <c r="C6" s="141" t="s">
        <v>230</v>
      </c>
      <c r="D6" s="141">
        <v>150</v>
      </c>
      <c r="E6" s="142">
        <v>3.23</v>
      </c>
    </row>
    <row r="7" spans="1:7" ht="15">
      <c r="A7" s="140" t="s">
        <v>231</v>
      </c>
      <c r="B7" s="141" t="s">
        <v>230</v>
      </c>
      <c r="C7" s="141" t="s">
        <v>230</v>
      </c>
      <c r="D7" s="141">
        <v>150</v>
      </c>
      <c r="E7" s="142">
        <v>3.23</v>
      </c>
    </row>
    <row r="8" spans="1:7" ht="15.75" thickBot="1">
      <c r="A8" s="143" t="s">
        <v>232</v>
      </c>
      <c r="B8" s="144" t="s">
        <v>233</v>
      </c>
      <c r="C8" s="144" t="s">
        <v>233</v>
      </c>
      <c r="D8" s="144">
        <v>4644.6099999999997</v>
      </c>
      <c r="E8" s="144"/>
    </row>
    <row r="9" spans="1:7" ht="14.25" thickTop="1"/>
  </sheetData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53"/>
  <sheetViews>
    <sheetView topLeftCell="A171" workbookViewId="0">
      <selection activeCell="K136" sqref="K136"/>
    </sheetView>
  </sheetViews>
  <sheetFormatPr defaultRowHeight="13.5"/>
  <cols>
    <col min="2" max="2" width="8.875" customWidth="1"/>
    <col min="5" max="5" width="20.5" bestFit="1" customWidth="1"/>
    <col min="6" max="6" width="9.5" bestFit="1" customWidth="1"/>
    <col min="7" max="7" width="11.625" bestFit="1" customWidth="1"/>
    <col min="8" max="8" width="10.5" customWidth="1"/>
    <col min="9" max="9" width="13.375" customWidth="1"/>
  </cols>
  <sheetData>
    <row r="1" spans="1:8">
      <c r="A1" s="494" t="s">
        <v>663</v>
      </c>
    </row>
    <row r="2" spans="1:8">
      <c r="A2" s="494" t="s">
        <v>664</v>
      </c>
    </row>
    <row r="3" spans="1:8">
      <c r="A3" s="494" t="s">
        <v>665</v>
      </c>
    </row>
    <row r="4" spans="1:8">
      <c r="A4" s="494" t="s">
        <v>1017</v>
      </c>
    </row>
    <row r="5" spans="1:8">
      <c r="A5" s="494" t="s">
        <v>1039</v>
      </c>
    </row>
    <row r="7" spans="1:8">
      <c r="A7" t="s">
        <v>663</v>
      </c>
    </row>
    <row r="8" spans="1:8">
      <c r="B8" t="str">
        <f>'NG-based'!J1</f>
        <v>NG as fuel</v>
      </c>
    </row>
    <row r="9" spans="1:8">
      <c r="B9" s="107"/>
      <c r="C9" s="108"/>
      <c r="D9" s="108"/>
      <c r="E9" s="108" t="str">
        <f>'NG-based'!J2</f>
        <v>NG开采处理阶段</v>
      </c>
      <c r="F9" s="108" t="str">
        <f>'NG-based'!K2</f>
        <v>NG运输阶段</v>
      </c>
      <c r="G9" s="108" t="str">
        <f>'NG-based'!L2</f>
        <v>使用阶段</v>
      </c>
      <c r="H9" s="469" t="s">
        <v>676</v>
      </c>
    </row>
    <row r="10" spans="1:8">
      <c r="B10" s="93" t="str">
        <f>'NG-based'!H13</f>
        <v>LCA-Coal</v>
      </c>
      <c r="C10" s="478" t="s">
        <v>679</v>
      </c>
      <c r="D10" s="35" t="str">
        <f>'NG-based'!I13</f>
        <v>KJ/MJ</v>
      </c>
      <c r="E10" s="380">
        <f>'NG-based'!J13</f>
        <v>4.4367237047770356</v>
      </c>
      <c r="F10" s="380">
        <f>'NG-based'!K13</f>
        <v>3.2947116843928073</v>
      </c>
      <c r="G10" s="380">
        <f>'NG-based'!L13</f>
        <v>0</v>
      </c>
      <c r="H10" s="479">
        <f>E10+F10+G10</f>
        <v>7.7314353891698424</v>
      </c>
    </row>
    <row r="11" spans="1:8">
      <c r="B11" s="93" t="str">
        <f>'NG-based'!H14</f>
        <v>LCA-NG</v>
      </c>
      <c r="C11" s="478" t="s">
        <v>680</v>
      </c>
      <c r="D11" s="35" t="str">
        <f>'NG-based'!I14</f>
        <v>KJ/MJ</v>
      </c>
      <c r="E11" s="380">
        <f>'NG-based'!J14</f>
        <v>103.26319429789575</v>
      </c>
      <c r="F11" s="380">
        <f>'NG-based'!K14</f>
        <v>11.358165075942514</v>
      </c>
      <c r="G11" s="380">
        <f>'NG-based'!L14</f>
        <v>1000</v>
      </c>
      <c r="H11" s="479">
        <f>E11+F11+G11</f>
        <v>1114.6213593738382</v>
      </c>
    </row>
    <row r="12" spans="1:8">
      <c r="B12" s="93" t="str">
        <f>'NG-based'!H15</f>
        <v>LCA-Oil</v>
      </c>
      <c r="C12" s="478" t="s">
        <v>681</v>
      </c>
      <c r="D12" s="35" t="str">
        <f>'NG-based'!I15</f>
        <v>KJ/MJ</v>
      </c>
      <c r="E12" s="380">
        <f>'NG-based'!J15</f>
        <v>4.744992867206685</v>
      </c>
      <c r="F12" s="380">
        <f>'NG-based'!K15</f>
        <v>0.59146237839919946</v>
      </c>
      <c r="G12" s="380">
        <f>'NG-based'!L15</f>
        <v>0</v>
      </c>
      <c r="H12" s="479">
        <f>E12+F12+G12</f>
        <v>5.3364552456058849</v>
      </c>
    </row>
    <row r="13" spans="1:8">
      <c r="B13" s="93" t="str">
        <f>'NG-based'!H16</f>
        <v>LCA-PE</v>
      </c>
      <c r="C13" s="478" t="s">
        <v>682</v>
      </c>
      <c r="D13" s="35" t="str">
        <f>'NG-based'!I16</f>
        <v>KJ/MJ</v>
      </c>
      <c r="E13" s="380">
        <f>'NG-based'!J16</f>
        <v>112.44491086987948</v>
      </c>
      <c r="F13" s="380">
        <f>'NG-based'!K16</f>
        <v>15.244339138734521</v>
      </c>
      <c r="G13" s="380">
        <f>'NG-based'!L16</f>
        <v>1000</v>
      </c>
      <c r="H13" s="479">
        <f>E13+F13+G13</f>
        <v>1127.689250008614</v>
      </c>
    </row>
    <row r="14" spans="1:8">
      <c r="B14" s="93"/>
      <c r="C14" s="35"/>
      <c r="D14" s="35"/>
      <c r="E14" s="35"/>
      <c r="F14" s="35"/>
      <c r="G14" s="35"/>
      <c r="H14" s="84"/>
    </row>
    <row r="15" spans="1:8">
      <c r="B15" s="93" t="str">
        <f>'NG-based'!H18</f>
        <v>LCA-CO2</v>
      </c>
      <c r="C15" s="478" t="s">
        <v>683</v>
      </c>
      <c r="D15" s="35" t="str">
        <f>'NG-based'!I18</f>
        <v>mg/MJ</v>
      </c>
      <c r="E15" s="380">
        <f>'NG-based'!J18</f>
        <v>6582.083881740512</v>
      </c>
      <c r="F15" s="380">
        <f>'NG-based'!K18</f>
        <v>958.25792612362227</v>
      </c>
      <c r="G15" s="380">
        <f>'NG-based'!L18</f>
        <v>57123</v>
      </c>
      <c r="H15" s="479">
        <f>E15+F15+G15</f>
        <v>64663.341807864133</v>
      </c>
    </row>
    <row r="16" spans="1:8">
      <c r="B16" s="93" t="str">
        <f>'NG-based'!H19</f>
        <v>LCA-CH4</v>
      </c>
      <c r="C16" s="478" t="s">
        <v>684</v>
      </c>
      <c r="D16" s="35" t="str">
        <f>'NG-based'!I19</f>
        <v>mg/MJ</v>
      </c>
      <c r="E16" s="380">
        <f>'NG-based'!J19</f>
        <v>81.407672954467188</v>
      </c>
      <c r="F16" s="380">
        <f>'NG-based'!K19</f>
        <v>2.1781169934031439</v>
      </c>
      <c r="G16" s="380">
        <f>'NG-based'!L19</f>
        <v>0</v>
      </c>
      <c r="H16" s="479">
        <f>E16+F16+G16</f>
        <v>83.585789947870325</v>
      </c>
    </row>
    <row r="17" spans="2:10">
      <c r="B17" s="93" t="str">
        <f>'NG-based'!H20</f>
        <v>LCA-N2O</v>
      </c>
      <c r="C17" s="478" t="s">
        <v>685</v>
      </c>
      <c r="D17" s="35" t="str">
        <f>'NG-based'!I20</f>
        <v>0.001mg/MJ</v>
      </c>
      <c r="E17" s="380">
        <f>'NG-based'!J20</f>
        <v>1.3830000876391497E-4</v>
      </c>
      <c r="F17" s="380">
        <f>'NG-based'!K20</f>
        <v>1.8826877950371856E-5</v>
      </c>
      <c r="G17" s="380">
        <f>'NG-based'!L20</f>
        <v>0</v>
      </c>
      <c r="H17" s="479">
        <f>E17+F17+G17</f>
        <v>1.5712688671428682E-4</v>
      </c>
    </row>
    <row r="18" spans="2:10">
      <c r="B18" s="101" t="str">
        <f>'NG-based'!H21</f>
        <v>LCA-GHG</v>
      </c>
      <c r="C18" s="480" t="s">
        <v>686</v>
      </c>
      <c r="D18" s="102" t="str">
        <f>'NG-based'!I21</f>
        <v>g/MJ</v>
      </c>
      <c r="E18" s="481">
        <f>'NG-based'!J21</f>
        <v>8.6172757468155936</v>
      </c>
      <c r="F18" s="481">
        <f>'NG-based'!K21</f>
        <v>1.0127108565691105</v>
      </c>
      <c r="G18" s="481">
        <f>'NG-based'!L21</f>
        <v>57.122999999999998</v>
      </c>
      <c r="H18" s="482">
        <f>E18+F18+G18</f>
        <v>66.752986603384699</v>
      </c>
    </row>
    <row r="21" spans="2:10">
      <c r="B21" t="str">
        <f>'NG-based'!O1</f>
        <v>CNG</v>
      </c>
    </row>
    <row r="22" spans="2:10">
      <c r="B22" s="107"/>
      <c r="C22" s="108"/>
      <c r="D22" s="108"/>
      <c r="E22" s="108" t="str">
        <f>'NG-based'!P2</f>
        <v>NG开采处理阶段</v>
      </c>
      <c r="F22" s="108" t="str">
        <f>'NG-based'!Q2</f>
        <v>NG运输阶段</v>
      </c>
      <c r="G22" s="108" t="str">
        <f>'NG-based'!R2</f>
        <v>NG压缩阶段</v>
      </c>
      <c r="H22" s="108" t="str">
        <f>'NG-based'!S2</f>
        <v>CNG运输</v>
      </c>
      <c r="I22" s="108" t="str">
        <f>'NG-based'!T2</f>
        <v>使用阶段</v>
      </c>
      <c r="J22" s="469" t="s">
        <v>676</v>
      </c>
    </row>
    <row r="23" spans="2:10">
      <c r="B23" s="93" t="str">
        <f>'NG-based'!N13</f>
        <v>LCA-Coal</v>
      </c>
      <c r="C23" s="478" t="s">
        <v>679</v>
      </c>
      <c r="D23" s="35" t="str">
        <f>'NG-based'!O13</f>
        <v>KJ/MJ</v>
      </c>
      <c r="E23" s="380">
        <f>'NG-based'!P13</f>
        <v>4.4411648696466823</v>
      </c>
      <c r="F23" s="380">
        <f>'NG-based'!Q13</f>
        <v>0.65960193881737883</v>
      </c>
      <c r="G23" s="380">
        <f>'NG-based'!R13</f>
        <v>72.265192926157269</v>
      </c>
      <c r="H23" s="380">
        <f>'NG-based'!S13</f>
        <v>0</v>
      </c>
      <c r="I23" s="380">
        <f>'NG-based'!T13</f>
        <v>0</v>
      </c>
      <c r="J23" s="479">
        <f>SUM(E23:I23)</f>
        <v>77.365959734621327</v>
      </c>
    </row>
    <row r="24" spans="2:10">
      <c r="B24" s="93" t="str">
        <f>'NG-based'!N14</f>
        <v>LCA-NG</v>
      </c>
      <c r="C24" s="478" t="s">
        <v>680</v>
      </c>
      <c r="D24" s="35" t="str">
        <f>'NG-based'!O14</f>
        <v>KJ/MJ</v>
      </c>
      <c r="E24" s="380">
        <f>'NG-based'!P14</f>
        <v>103.36656085875451</v>
      </c>
      <c r="F24" s="380">
        <f>'NG-based'!Q14</f>
        <v>2.2739069221106143</v>
      </c>
      <c r="G24" s="380">
        <f>'NG-based'!R14</f>
        <v>6.6744353800128113</v>
      </c>
      <c r="H24" s="380">
        <f>'NG-based'!S14</f>
        <v>0</v>
      </c>
      <c r="I24" s="380">
        <f>'NG-based'!T14</f>
        <v>1000</v>
      </c>
      <c r="J24" s="479">
        <f>SUM(E24:I24)</f>
        <v>1112.314903160878</v>
      </c>
    </row>
    <row r="25" spans="2:10">
      <c r="B25" s="93" t="str">
        <f>'NG-based'!N15</f>
        <v>LCA-Oil</v>
      </c>
      <c r="C25" s="478" t="s">
        <v>681</v>
      </c>
      <c r="D25" s="35" t="str">
        <f>'NG-based'!O15</f>
        <v>KJ/MJ</v>
      </c>
      <c r="E25" s="380">
        <f>'NG-based'!P15</f>
        <v>4.7497426098165016</v>
      </c>
      <c r="F25" s="380">
        <f>'NG-based'!Q15</f>
        <v>0.11841088656640632</v>
      </c>
      <c r="G25" s="380">
        <f>'NG-based'!R15</f>
        <v>2.090296333664424</v>
      </c>
      <c r="H25" s="380">
        <f>'NG-based'!S15</f>
        <v>0</v>
      </c>
      <c r="I25" s="380">
        <f>'NG-based'!T15</f>
        <v>0</v>
      </c>
      <c r="J25" s="479">
        <f>SUM(E25:I25)</f>
        <v>6.9584498300473321</v>
      </c>
    </row>
    <row r="26" spans="2:10">
      <c r="B26" s="93" t="str">
        <f>'NG-based'!N16</f>
        <v>LCA-PE</v>
      </c>
      <c r="C26" s="478" t="s">
        <v>682</v>
      </c>
      <c r="D26" s="35" t="str">
        <f>'NG-based'!O16</f>
        <v>KJ/MJ</v>
      </c>
      <c r="E26" s="380">
        <f>'NG-based'!P16</f>
        <v>112.5574683382177</v>
      </c>
      <c r="F26" s="380">
        <f>'NG-based'!Q16</f>
        <v>3.0519197474943995</v>
      </c>
      <c r="G26" s="380">
        <f>'NG-based'!R16</f>
        <v>81.029924639834505</v>
      </c>
      <c r="H26" s="380">
        <f>'NG-based'!S16</f>
        <v>0</v>
      </c>
      <c r="I26" s="380">
        <f>'NG-based'!T16</f>
        <v>1000</v>
      </c>
      <c r="J26" s="479">
        <f>SUM(E26:I26)</f>
        <v>1196.6393127255467</v>
      </c>
    </row>
    <row r="27" spans="2:10">
      <c r="B27" s="93"/>
      <c r="C27" s="35"/>
      <c r="D27" s="35"/>
      <c r="E27" s="35"/>
      <c r="F27" s="35"/>
      <c r="G27" s="35"/>
      <c r="H27" s="35"/>
      <c r="I27" s="35"/>
      <c r="J27" s="84"/>
    </row>
    <row r="28" spans="2:10">
      <c r="B28" s="93" t="str">
        <f>'NG-based'!N18</f>
        <v>LCA-CO2</v>
      </c>
      <c r="C28" s="478" t="s">
        <v>683</v>
      </c>
      <c r="D28" s="35" t="str">
        <f>'NG-based'!O18</f>
        <v>mg/MJ</v>
      </c>
      <c r="E28" s="380">
        <f>'NG-based'!P18</f>
        <v>6588.672554294807</v>
      </c>
      <c r="F28" s="380">
        <f>'NG-based'!Q18</f>
        <v>191.84342865337786</v>
      </c>
      <c r="G28" s="380">
        <f>'NG-based'!R18</f>
        <v>6433.5522748543035</v>
      </c>
      <c r="H28" s="380">
        <f>'NG-based'!S18</f>
        <v>0</v>
      </c>
      <c r="I28" s="380">
        <f>'NG-based'!T18</f>
        <v>57123</v>
      </c>
      <c r="J28" s="479">
        <f>SUM(E28:I28)</f>
        <v>70337.068257802486</v>
      </c>
    </row>
    <row r="29" spans="2:10">
      <c r="B29" s="93" t="str">
        <f>'NG-based'!N19</f>
        <v>LCA-CH4</v>
      </c>
      <c r="C29" s="478" t="s">
        <v>684</v>
      </c>
      <c r="D29" s="35" t="str">
        <f>'NG-based'!O19</f>
        <v>mg/MJ</v>
      </c>
      <c r="E29" s="380">
        <f>'NG-based'!P19</f>
        <v>81.417090044511696</v>
      </c>
      <c r="F29" s="380">
        <f>'NG-based'!Q19</f>
        <v>0.43605945813876762</v>
      </c>
      <c r="G29" s="380">
        <f>'NG-based'!R19</f>
        <v>29.929323411761668</v>
      </c>
      <c r="H29" s="380">
        <f>'NG-based'!S19</f>
        <v>0</v>
      </c>
      <c r="I29" s="380">
        <f>'NG-based'!T19</f>
        <v>0</v>
      </c>
      <c r="J29" s="479">
        <f>SUM(E29:I29)</f>
        <v>111.78247291441214</v>
      </c>
    </row>
    <row r="30" spans="2:10">
      <c r="B30" s="93" t="str">
        <f>'NG-based'!N20</f>
        <v>LCA-N2O</v>
      </c>
      <c r="C30" s="478" t="s">
        <v>685</v>
      </c>
      <c r="D30" s="35" t="str">
        <f>'NG-based'!O20</f>
        <v>0.001mg/MJ</v>
      </c>
      <c r="E30" s="380">
        <f>'NG-based'!P20</f>
        <v>1.3843844721112607E-4</v>
      </c>
      <c r="F30" s="380">
        <f>'NG-based'!Q20</f>
        <v>3.7691447348091811E-6</v>
      </c>
      <c r="G30" s="380">
        <f>'NG-based'!R20</f>
        <v>1.0164451098454216E-4</v>
      </c>
      <c r="H30" s="380">
        <f>'NG-based'!S20</f>
        <v>0</v>
      </c>
      <c r="I30" s="380">
        <f>'NG-based'!T20</f>
        <v>0</v>
      </c>
      <c r="J30" s="479">
        <f>SUM(E30:I30)</f>
        <v>2.4385210293047742E-4</v>
      </c>
    </row>
    <row r="31" spans="2:10">
      <c r="B31" s="101" t="str">
        <f>'NG-based'!N21</f>
        <v>LCA-GHG</v>
      </c>
      <c r="C31" s="480" t="s">
        <v>686</v>
      </c>
      <c r="D31" s="102" t="str">
        <f>'NG-based'!O21</f>
        <v>g/MJ</v>
      </c>
      <c r="E31" s="481">
        <f>'NG-based'!P21</f>
        <v>8.624099846662256</v>
      </c>
      <c r="F31" s="481">
        <f>'NG-based'!Q21</f>
        <v>0.2027449162300522</v>
      </c>
      <c r="G31" s="481">
        <f>'NG-based'!R21</f>
        <v>7.1817853904384101</v>
      </c>
      <c r="H31" s="481">
        <f>'NG-based'!S21</f>
        <v>0</v>
      </c>
      <c r="I31" s="481">
        <f>'NG-based'!T21</f>
        <v>57.122999999999998</v>
      </c>
      <c r="J31" s="482">
        <f>SUM(E31:I31)</f>
        <v>73.131630153330718</v>
      </c>
    </row>
    <row r="34" spans="2:10">
      <c r="B34" t="str">
        <f>'NG-based'!W1</f>
        <v>LNG1</v>
      </c>
      <c r="C34" t="s">
        <v>690</v>
      </c>
    </row>
    <row r="35" spans="2:10">
      <c r="B35" s="107"/>
      <c r="C35" s="108"/>
      <c r="D35" s="108"/>
      <c r="E35" s="108" t="str">
        <f>'NG-based'!Y2</f>
        <v>NG开采处理阶段</v>
      </c>
      <c r="F35" s="108" t="str">
        <f>'NG-based'!Z2</f>
        <v>NG液化阶段</v>
      </c>
      <c r="G35" s="108" t="str">
        <f>'NG-based'!AB2</f>
        <v>LNG运输阶段</v>
      </c>
      <c r="H35" s="108" t="str">
        <f>'NG-based'!AC2</f>
        <v>LNG输配阶段</v>
      </c>
      <c r="I35" s="108" t="str">
        <f>'NG-based'!AD2</f>
        <v>使用阶段</v>
      </c>
      <c r="J35" s="469" t="s">
        <v>676</v>
      </c>
    </row>
    <row r="36" spans="2:10">
      <c r="B36" s="93" t="str">
        <f>'NG-based'!W13</f>
        <v>LCA-Coal</v>
      </c>
      <c r="C36" s="478" t="s">
        <v>679</v>
      </c>
      <c r="D36" s="35" t="str">
        <f>'NG-based'!X13</f>
        <v>KJ/MJ</v>
      </c>
      <c r="E36" s="380">
        <f>'NG-based'!Y13</f>
        <v>4.4367237047770356</v>
      </c>
      <c r="F36" s="380">
        <f>'NG-based'!Z13</f>
        <v>9.0841618856083652</v>
      </c>
      <c r="G36" s="380">
        <f>'NG-based'!AB13</f>
        <v>1.2066904095051141</v>
      </c>
      <c r="H36" s="380">
        <f>'NG-based'!AC13</f>
        <v>0.37885787892179007</v>
      </c>
      <c r="I36" s="380">
        <f>'NG-based'!AD13</f>
        <v>0</v>
      </c>
      <c r="J36" s="479">
        <f>SUM(E36:I36)</f>
        <v>15.106433878812306</v>
      </c>
    </row>
    <row r="37" spans="2:10">
      <c r="B37" s="93" t="str">
        <f>'NG-based'!W14</f>
        <v>LCA-NG</v>
      </c>
      <c r="C37" s="478" t="s">
        <v>680</v>
      </c>
      <c r="D37" s="35" t="str">
        <f>'NG-based'!X14</f>
        <v>KJ/MJ</v>
      </c>
      <c r="E37" s="380">
        <f>'NG-based'!Y14</f>
        <v>103.26319429789575</v>
      </c>
      <c r="F37" s="380">
        <f>'NG-based'!Z14</f>
        <v>101.9795456770043</v>
      </c>
      <c r="G37" s="380">
        <f>'NG-based'!AB14</f>
        <v>0.94066930032412432</v>
      </c>
      <c r="H37" s="380">
        <f>'NG-based'!AC14</f>
        <v>0.25984793010238222</v>
      </c>
      <c r="I37" s="380">
        <f>'NG-based'!AD14</f>
        <v>1000</v>
      </c>
      <c r="J37" s="479">
        <f>SUM(E37:I37)</f>
        <v>1206.4432572053265</v>
      </c>
    </row>
    <row r="38" spans="2:10">
      <c r="B38" s="93" t="str">
        <f>'NG-based'!W15</f>
        <v>LCA-Oil</v>
      </c>
      <c r="C38" s="478" t="s">
        <v>681</v>
      </c>
      <c r="D38" s="35" t="str">
        <f>'NG-based'!X15</f>
        <v>KJ/MJ</v>
      </c>
      <c r="E38" s="380">
        <f>'NG-based'!Y15</f>
        <v>4.744992867206685</v>
      </c>
      <c r="F38" s="380">
        <f>'NG-based'!Z15</f>
        <v>4.8025373227203927</v>
      </c>
      <c r="G38" s="380">
        <f>'NG-based'!AB15</f>
        <v>23.239733999963143</v>
      </c>
      <c r="H38" s="380">
        <f>'NG-based'!AC15</f>
        <v>6.0127285935776111</v>
      </c>
      <c r="I38" s="380">
        <f>'NG-based'!AD15</f>
        <v>0</v>
      </c>
      <c r="J38" s="479">
        <f>SUM(E38:I38)</f>
        <v>38.799992783467836</v>
      </c>
    </row>
    <row r="39" spans="2:10">
      <c r="B39" s="93" t="str">
        <f>'NG-based'!W16</f>
        <v>LCA-PE</v>
      </c>
      <c r="C39" s="478" t="s">
        <v>682</v>
      </c>
      <c r="D39" s="35" t="str">
        <f>'NG-based'!X16</f>
        <v>KJ/MJ</v>
      </c>
      <c r="E39" s="380">
        <f>'NG-based'!Y16</f>
        <v>112.44491086987948</v>
      </c>
      <c r="F39" s="380">
        <f>'NG-based'!Z16</f>
        <v>115.86624488533306</v>
      </c>
      <c r="G39" s="380">
        <f>'NG-based'!AB16</f>
        <v>25.387093709792381</v>
      </c>
      <c r="H39" s="380">
        <f>'NG-based'!AC16</f>
        <v>6.6514344026017831</v>
      </c>
      <c r="I39" s="380">
        <f>'NG-based'!AD16</f>
        <v>1000</v>
      </c>
      <c r="J39" s="479">
        <f>SUM(E39:I39)</f>
        <v>1260.3496838676067</v>
      </c>
    </row>
    <row r="40" spans="2:10">
      <c r="B40" s="93"/>
      <c r="C40" s="35"/>
      <c r="D40" s="35"/>
      <c r="E40" s="35"/>
      <c r="F40" s="35"/>
      <c r="G40" s="35"/>
      <c r="H40" s="35"/>
      <c r="I40" s="35"/>
      <c r="J40" s="84"/>
    </row>
    <row r="41" spans="2:10">
      <c r="B41" s="93" t="str">
        <f>'NG-based'!W18</f>
        <v>LCA-CO2</v>
      </c>
      <c r="C41" s="478" t="s">
        <v>683</v>
      </c>
      <c r="D41" s="35" t="str">
        <f>'NG-based'!X18</f>
        <v>mg/MJ</v>
      </c>
      <c r="E41" s="380">
        <f>'NG-based'!Y18</f>
        <v>6582.083881740512</v>
      </c>
      <c r="F41" s="380">
        <f>'NG-based'!Z18</f>
        <v>6892.7934077304808</v>
      </c>
      <c r="G41" s="380">
        <f>'NG-based'!AB18</f>
        <v>1905.6531263783158</v>
      </c>
      <c r="H41" s="380">
        <f>'NG-based'!AC18</f>
        <v>481.64016776563949</v>
      </c>
      <c r="I41" s="380">
        <f>'NG-based'!AD18</f>
        <v>57123</v>
      </c>
      <c r="J41" s="479">
        <f>SUM(E41:I41)</f>
        <v>72985.170583614949</v>
      </c>
    </row>
    <row r="42" spans="2:10">
      <c r="B42" s="93" t="str">
        <f>'NG-based'!W19</f>
        <v>LCA-CH4</v>
      </c>
      <c r="C42" s="478" t="s">
        <v>684</v>
      </c>
      <c r="D42" s="35" t="str">
        <f>'NG-based'!X19</f>
        <v>mg/MJ</v>
      </c>
      <c r="E42" s="380">
        <f>'NG-based'!Y19</f>
        <v>81.407672954467188</v>
      </c>
      <c r="F42" s="380">
        <f>'NG-based'!Z19</f>
        <v>11.206383084460368</v>
      </c>
      <c r="G42" s="380">
        <f>'NG-based'!AB19</f>
        <v>0.81787748828790086</v>
      </c>
      <c r="H42" s="380">
        <f>'NG-based'!AC19</f>
        <v>0</v>
      </c>
      <c r="I42" s="380">
        <f>'NG-based'!AD19</f>
        <v>0</v>
      </c>
      <c r="J42" s="479">
        <f>SUM(E42:I42)</f>
        <v>93.431933527215463</v>
      </c>
    </row>
    <row r="43" spans="2:10">
      <c r="B43" s="93" t="str">
        <f>'NG-based'!W20</f>
        <v>LCA-N2O</v>
      </c>
      <c r="C43" s="478" t="s">
        <v>685</v>
      </c>
      <c r="D43" s="35" t="str">
        <f>'NG-based'!X20</f>
        <v>0.001mg/MJ</v>
      </c>
      <c r="E43" s="380">
        <f>'NG-based'!Y20</f>
        <v>1.3830000876391497E-4</v>
      </c>
      <c r="F43" s="380">
        <f>'NG-based'!Z20</f>
        <v>1.42637580009343E-4</v>
      </c>
      <c r="G43" s="380">
        <f>'NG-based'!AB20</f>
        <v>0</v>
      </c>
      <c r="H43" s="380">
        <f>'NG-based'!AC20</f>
        <v>0</v>
      </c>
      <c r="I43" s="380">
        <f>'NG-based'!AD20</f>
        <v>0</v>
      </c>
      <c r="J43" s="479">
        <f>SUM(E43:I43)</f>
        <v>2.80937588773258E-4</v>
      </c>
    </row>
    <row r="44" spans="2:10">
      <c r="B44" s="101" t="str">
        <f>'NG-based'!W21</f>
        <v>LCA-GHG</v>
      </c>
      <c r="C44" s="480" t="s">
        <v>686</v>
      </c>
      <c r="D44" s="102" t="str">
        <f>'NG-based'!X21</f>
        <v>g/MJ</v>
      </c>
      <c r="E44" s="481">
        <f>'NG-based'!Y21</f>
        <v>8.6172757468155936</v>
      </c>
      <c r="F44" s="481">
        <f>'NG-based'!Z21</f>
        <v>7.1729530273479885</v>
      </c>
      <c r="G44" s="481">
        <f>'NG-based'!AB21</f>
        <v>1.9261000635855134</v>
      </c>
      <c r="H44" s="481">
        <f>'NG-based'!AC21</f>
        <v>0.4816401677656395</v>
      </c>
      <c r="I44" s="481">
        <f>'NG-based'!AD21</f>
        <v>57.122999999999998</v>
      </c>
      <c r="J44" s="482">
        <f>SUM(E44:I44)</f>
        <v>75.320969005514741</v>
      </c>
    </row>
    <row r="47" spans="2:10">
      <c r="B47" t="str">
        <f>'NG-based'!AF1</f>
        <v>LNG2</v>
      </c>
      <c r="C47" t="s">
        <v>688</v>
      </c>
    </row>
    <row r="48" spans="2:10">
      <c r="B48" s="107"/>
      <c r="C48" s="108"/>
      <c r="D48" s="108"/>
      <c r="E48" s="108" t="str">
        <f>'NG-based'!AH2</f>
        <v>NG开采处理阶段</v>
      </c>
      <c r="G48" s="108" t="str">
        <f>'NG-based'!AI2</f>
        <v>NG液化阶段</v>
      </c>
      <c r="H48" s="108" t="str">
        <f>'NG-based'!AK2</f>
        <v>LNG输配阶段</v>
      </c>
      <c r="I48" s="108" t="str">
        <f>'NG-based'!AL2</f>
        <v>使用阶段</v>
      </c>
      <c r="J48" s="469" t="s">
        <v>677</v>
      </c>
    </row>
    <row r="49" spans="2:10">
      <c r="B49" s="93" t="str">
        <f>'NG-based'!AF13</f>
        <v>LCA-Coal</v>
      </c>
      <c r="C49" s="478" t="s">
        <v>679</v>
      </c>
      <c r="D49" s="35" t="str">
        <f>'NG-based'!AG13</f>
        <v>KJ/MJ</v>
      </c>
      <c r="E49" s="380">
        <f>'NG-based'!AH13</f>
        <v>4.4367237047770356</v>
      </c>
      <c r="G49" s="380">
        <f>'NG-based'!AI13</f>
        <v>115.89145095652124</v>
      </c>
      <c r="H49" s="380">
        <f>'NG-based'!AK13</f>
        <v>0.37885787892179007</v>
      </c>
      <c r="I49" s="380">
        <f>'NG-based'!AL13</f>
        <v>0</v>
      </c>
      <c r="J49" s="479">
        <f>SUM(E49:I49)</f>
        <v>120.70703254022007</v>
      </c>
    </row>
    <row r="50" spans="2:10">
      <c r="B50" s="93" t="str">
        <f>'NG-based'!AF14</f>
        <v>LCA-NG</v>
      </c>
      <c r="C50" s="478" t="s">
        <v>680</v>
      </c>
      <c r="D50" s="35" t="str">
        <f>'NG-based'!AG14</f>
        <v>KJ/MJ</v>
      </c>
      <c r="E50" s="380">
        <f>'NG-based'!AH14</f>
        <v>103.26319429789575</v>
      </c>
      <c r="G50" s="380">
        <f>'NG-based'!AI14</f>
        <v>9.0109950756727368</v>
      </c>
      <c r="H50" s="380">
        <f>'NG-based'!AK14</f>
        <v>0.25984793010238222</v>
      </c>
      <c r="I50" s="380">
        <f>'NG-based'!AL14</f>
        <v>1000</v>
      </c>
      <c r="J50" s="479">
        <f>SUM(E50:I50)</f>
        <v>1112.5340373036709</v>
      </c>
    </row>
    <row r="51" spans="2:10">
      <c r="B51" s="93" t="str">
        <f>'NG-based'!AF15</f>
        <v>LCA-Oil</v>
      </c>
      <c r="C51" s="478" t="s">
        <v>681</v>
      </c>
      <c r="D51" s="35" t="str">
        <f>'NG-based'!AG15</f>
        <v>KJ/MJ</v>
      </c>
      <c r="E51" s="380">
        <f>'NG-based'!AH15</f>
        <v>4.744992867206685</v>
      </c>
      <c r="G51" s="380">
        <f>'NG-based'!AI15</f>
        <v>3.2762197455020767</v>
      </c>
      <c r="H51" s="380">
        <f>'NG-based'!AK15</f>
        <v>6.0127285935776111</v>
      </c>
      <c r="I51" s="380">
        <f>'NG-based'!AL15</f>
        <v>0</v>
      </c>
      <c r="J51" s="479">
        <f>SUM(E51:I51)</f>
        <v>14.033941206286373</v>
      </c>
    </row>
    <row r="52" spans="2:10">
      <c r="B52" s="93" t="str">
        <f>'NG-based'!AF16</f>
        <v>LCA-PE</v>
      </c>
      <c r="C52" s="478" t="s">
        <v>682</v>
      </c>
      <c r="D52" s="35" t="str">
        <f>'NG-based'!AG16</f>
        <v>KJ/MJ</v>
      </c>
      <c r="E52" s="380">
        <f>'NG-based'!AH16</f>
        <v>112.44491086987948</v>
      </c>
      <c r="G52" s="380">
        <f>'NG-based'!AI16</f>
        <v>128.17866577769607</v>
      </c>
      <c r="H52" s="380">
        <f>'NG-based'!AK16</f>
        <v>6.6514344026017831</v>
      </c>
      <c r="I52" s="380">
        <f>'NG-based'!AL16</f>
        <v>1000</v>
      </c>
      <c r="J52" s="479">
        <f>SUM(E52:I52)</f>
        <v>1247.2750110501772</v>
      </c>
    </row>
    <row r="53" spans="2:10">
      <c r="B53" s="93"/>
      <c r="C53" s="35"/>
      <c r="D53" s="35"/>
      <c r="E53" s="380"/>
      <c r="G53" s="380"/>
      <c r="H53" s="380"/>
      <c r="I53" s="380"/>
      <c r="J53" s="84"/>
    </row>
    <row r="54" spans="2:10">
      <c r="B54" s="93" t="str">
        <f>'NG-based'!AF18</f>
        <v>LCA-CO2</v>
      </c>
      <c r="C54" s="478" t="s">
        <v>683</v>
      </c>
      <c r="D54" s="35" t="str">
        <f>'NG-based'!AG18</f>
        <v>mg/MJ</v>
      </c>
      <c r="E54" s="380">
        <f>'NG-based'!AH18</f>
        <v>6582.083881740512</v>
      </c>
      <c r="G54" s="380">
        <f>'NG-based'!AI18</f>
        <v>10215.638487182388</v>
      </c>
      <c r="H54" s="380">
        <f>'NG-based'!AK18</f>
        <v>481.64016776563949</v>
      </c>
      <c r="I54" s="380">
        <f>'NG-based'!AL18</f>
        <v>57123</v>
      </c>
      <c r="J54" s="479">
        <f>SUM(E54:I54)</f>
        <v>74402.362536688539</v>
      </c>
    </row>
    <row r="55" spans="2:10">
      <c r="B55" s="93" t="str">
        <f>'NG-based'!AF19</f>
        <v>LCA-CH4</v>
      </c>
      <c r="C55" s="478" t="s">
        <v>684</v>
      </c>
      <c r="D55" s="35" t="str">
        <f>'NG-based'!AG19</f>
        <v>mg/MJ</v>
      </c>
      <c r="E55" s="380">
        <f>'NG-based'!AH19</f>
        <v>81.407672954467188</v>
      </c>
      <c r="G55" s="380">
        <f>'NG-based'!AI19</f>
        <v>47.872966301316048</v>
      </c>
      <c r="H55" s="380">
        <f>'NG-based'!AK19</f>
        <v>0</v>
      </c>
      <c r="I55" s="380">
        <f>'NG-based'!AL19</f>
        <v>0</v>
      </c>
      <c r="J55" s="479">
        <f>SUM(E55:I55)</f>
        <v>129.28063925578323</v>
      </c>
    </row>
    <row r="56" spans="2:10">
      <c r="B56" s="93" t="str">
        <f>'NG-based'!AF20</f>
        <v>LCA-N2O</v>
      </c>
      <c r="C56" s="478" t="s">
        <v>685</v>
      </c>
      <c r="D56" s="35" t="str">
        <f>'NG-based'!AG20</f>
        <v>0.001mg/MJ</v>
      </c>
      <c r="E56" s="380">
        <f>'NG-based'!AH20</f>
        <v>1.3830000876391497E-4</v>
      </c>
      <c r="G56" s="380">
        <f>'NG-based'!AI20</f>
        <v>1.6083351313931027E-4</v>
      </c>
      <c r="H56" s="380">
        <f>'NG-based'!AK20</f>
        <v>0</v>
      </c>
      <c r="I56" s="380">
        <f>'NG-based'!AL20</f>
        <v>0</v>
      </c>
      <c r="J56" s="479">
        <f>SUM(E56:I56)</f>
        <v>2.9913352190322521E-4</v>
      </c>
    </row>
    <row r="57" spans="2:10">
      <c r="B57" s="101" t="str">
        <f>'NG-based'!AF21</f>
        <v>LCA-GHG</v>
      </c>
      <c r="C57" s="480" t="s">
        <v>686</v>
      </c>
      <c r="D57" s="102" t="str">
        <f>'NG-based'!AG21</f>
        <v>g/MJ</v>
      </c>
      <c r="E57" s="481">
        <f>'NG-based'!AH21</f>
        <v>8.6172757468155936</v>
      </c>
      <c r="G57" s="481">
        <f>'NG-based'!AI21</f>
        <v>11.412462692643675</v>
      </c>
      <c r="H57" s="481">
        <f>'NG-based'!AK21</f>
        <v>0.4816401677656395</v>
      </c>
      <c r="I57" s="481">
        <f>'NG-based'!AL21</f>
        <v>57.122999999999998</v>
      </c>
      <c r="J57" s="482">
        <f>SUM(E57:I57)</f>
        <v>77.634378607224903</v>
      </c>
    </row>
    <row r="60" spans="2:10">
      <c r="B60" t="str">
        <f>'NG-based'!AO1</f>
        <v>LNG3</v>
      </c>
      <c r="C60" t="s">
        <v>689</v>
      </c>
    </row>
    <row r="61" spans="2:10">
      <c r="B61" s="107"/>
      <c r="C61" s="108"/>
      <c r="D61" s="108"/>
      <c r="E61" s="108" t="str">
        <f>'NG-based'!AQ2</f>
        <v>NG开采处理阶段</v>
      </c>
      <c r="F61" s="108" t="str">
        <f>'NG-based'!AR2</f>
        <v>NG输配阶段</v>
      </c>
      <c r="G61" s="108" t="str">
        <f>'NG-based'!AS2</f>
        <v>NG液化阶段</v>
      </c>
      <c r="H61" s="108" t="str">
        <f>'NG-based'!AU2</f>
        <v>LNG输配阶段</v>
      </c>
      <c r="I61" s="108" t="str">
        <f>'NG-based'!AV2</f>
        <v>使用阶段</v>
      </c>
      <c r="J61" s="469" t="s">
        <v>676</v>
      </c>
    </row>
    <row r="62" spans="2:10">
      <c r="B62" s="93" t="str">
        <f>'NG-based'!AO13</f>
        <v>LCA-Coal</v>
      </c>
      <c r="C62" s="478" t="s">
        <v>679</v>
      </c>
      <c r="D62" s="35" t="str">
        <f>'NG-based'!AP13</f>
        <v>KJ/MJ</v>
      </c>
      <c r="E62" s="380">
        <f>'NG-based'!AQ13</f>
        <v>4.4367237047770356</v>
      </c>
      <c r="F62" s="380">
        <f>'NG-based'!AR13</f>
        <v>3.2947116843928073</v>
      </c>
      <c r="G62" s="380">
        <f>'NG-based'!AS13</f>
        <v>115.79223499767485</v>
      </c>
      <c r="H62" s="380">
        <f>'NG-based'!AU13</f>
        <v>0.37885787892179007</v>
      </c>
      <c r="I62" s="380">
        <f>'NG-based'!AV13</f>
        <v>0</v>
      </c>
      <c r="J62" s="479">
        <f>SUM(E62:I62)</f>
        <v>123.90252826576649</v>
      </c>
    </row>
    <row r="63" spans="2:10">
      <c r="B63" s="93" t="str">
        <f>'NG-based'!AO14</f>
        <v>LCA-NG</v>
      </c>
      <c r="C63" s="478" t="s">
        <v>680</v>
      </c>
      <c r="D63" s="35" t="str">
        <f>'NG-based'!AP14</f>
        <v>KJ/MJ</v>
      </c>
      <c r="E63" s="380">
        <f>'NG-based'!AQ14</f>
        <v>103.26319429789575</v>
      </c>
      <c r="F63" s="380">
        <f>'NG-based'!AR14</f>
        <v>11.358165075942514</v>
      </c>
      <c r="G63" s="380">
        <f>'NG-based'!AS14</f>
        <v>9.0032806626663078</v>
      </c>
      <c r="H63" s="380">
        <f>'NG-based'!AU14</f>
        <v>0.25984793010238222</v>
      </c>
      <c r="I63" s="380">
        <f>'NG-based'!AV14</f>
        <v>1000</v>
      </c>
      <c r="J63" s="479">
        <f>SUM(E63:I63)</f>
        <v>1123.8844879666069</v>
      </c>
    </row>
    <row r="64" spans="2:10">
      <c r="B64" s="93" t="str">
        <f>'NG-based'!AO15</f>
        <v>LCA-Oil</v>
      </c>
      <c r="C64" s="478" t="s">
        <v>681</v>
      </c>
      <c r="D64" s="35" t="str">
        <f>'NG-based'!AP15</f>
        <v>KJ/MJ</v>
      </c>
      <c r="E64" s="380">
        <f>'NG-based'!AQ15</f>
        <v>4.744992867206685</v>
      </c>
      <c r="F64" s="380">
        <f>'NG-based'!AR15</f>
        <v>0.59146237839919946</v>
      </c>
      <c r="G64" s="380">
        <f>'NG-based'!AS15</f>
        <v>3.2734149373755188</v>
      </c>
      <c r="H64" s="380">
        <f>'NG-based'!AU15</f>
        <v>6.0127285935776111</v>
      </c>
      <c r="I64" s="380">
        <f>'NG-based'!AV15</f>
        <v>0</v>
      </c>
      <c r="J64" s="479">
        <f>SUM(E64:I64)</f>
        <v>14.622598776559014</v>
      </c>
    </row>
    <row r="65" spans="2:10">
      <c r="B65" s="93" t="str">
        <f>'NG-based'!AO16</f>
        <v>LCA-PE</v>
      </c>
      <c r="C65" s="478" t="s">
        <v>682</v>
      </c>
      <c r="D65" s="35" t="str">
        <f>'NG-based'!AP16</f>
        <v>KJ/MJ</v>
      </c>
      <c r="E65" s="380">
        <f>'NG-based'!AQ16</f>
        <v>112.44491086987948</v>
      </c>
      <c r="F65" s="380">
        <f>'NG-based'!AR16</f>
        <v>15.244339138734521</v>
      </c>
      <c r="G65" s="380">
        <f>'NG-based'!AS16</f>
        <v>128.06893059771667</v>
      </c>
      <c r="H65" s="380">
        <f>'NG-based'!AU16</f>
        <v>6.6514344026017831</v>
      </c>
      <c r="I65" s="380">
        <f>'NG-based'!AV16</f>
        <v>1000</v>
      </c>
      <c r="J65" s="479">
        <f>SUM(E65:I65)</f>
        <v>1262.4096150089324</v>
      </c>
    </row>
    <row r="66" spans="2:10">
      <c r="B66" s="93"/>
      <c r="C66" s="35"/>
      <c r="D66" s="35"/>
      <c r="E66" s="380"/>
      <c r="F66" s="380"/>
      <c r="G66" s="380"/>
      <c r="H66" s="380"/>
      <c r="I66" s="380"/>
      <c r="J66" s="84"/>
    </row>
    <row r="67" spans="2:10">
      <c r="B67" s="93" t="str">
        <f>'NG-based'!AO18</f>
        <v>LCA-CO2</v>
      </c>
      <c r="C67" s="478" t="s">
        <v>683</v>
      </c>
      <c r="D67" s="35" t="str">
        <f>'NG-based'!AP18</f>
        <v>mg/MJ</v>
      </c>
      <c r="E67" s="380">
        <f>'NG-based'!AQ18</f>
        <v>6582.083881740512</v>
      </c>
      <c r="F67" s="380">
        <f>'NG-based'!AR18</f>
        <v>958.25792612362227</v>
      </c>
      <c r="G67" s="380">
        <f>'NG-based'!AS18</f>
        <v>10206.892765566443</v>
      </c>
      <c r="H67" s="380">
        <f>'NG-based'!AU18</f>
        <v>481.64016776563949</v>
      </c>
      <c r="I67" s="380">
        <f>'NG-based'!AV18</f>
        <v>57123</v>
      </c>
      <c r="J67" s="479">
        <f>SUM(E67:I67)</f>
        <v>75351.874741196225</v>
      </c>
    </row>
    <row r="68" spans="2:10">
      <c r="B68" s="93" t="str">
        <f>'NG-based'!AO19</f>
        <v>LCA-CH4</v>
      </c>
      <c r="C68" s="478" t="s">
        <v>684</v>
      </c>
      <c r="D68" s="35" t="str">
        <f>'NG-based'!AP19</f>
        <v>mg/MJ</v>
      </c>
      <c r="E68" s="380">
        <f>'NG-based'!AQ19</f>
        <v>81.407672954467188</v>
      </c>
      <c r="F68" s="380">
        <f>'NG-based'!AR19</f>
        <v>2.1781169934031439</v>
      </c>
      <c r="G68" s="380">
        <f>'NG-based'!AS19</f>
        <v>47.831981722943759</v>
      </c>
      <c r="H68" s="380">
        <f>'NG-based'!AU19</f>
        <v>0</v>
      </c>
      <c r="I68" s="380">
        <f>'NG-based'!AV19</f>
        <v>0</v>
      </c>
      <c r="J68" s="479">
        <f>SUM(E68:I68)</f>
        <v>131.41777167081409</v>
      </c>
    </row>
    <row r="69" spans="2:10">
      <c r="B69" s="93" t="str">
        <f>'NG-based'!AO20</f>
        <v>LCA-N2O</v>
      </c>
      <c r="C69" s="478" t="s">
        <v>685</v>
      </c>
      <c r="D69" s="35" t="str">
        <f>'NG-based'!AP20</f>
        <v>0.001mg/MJ</v>
      </c>
      <c r="E69" s="380">
        <f>'NG-based'!AQ20</f>
        <v>1.3830000876391497E-4</v>
      </c>
      <c r="F69" s="380">
        <f>'NG-based'!AR20</f>
        <v>1.8826877950371856E-5</v>
      </c>
      <c r="G69" s="380">
        <f>'NG-based'!AS20</f>
        <v>1.6069582178167304E-4</v>
      </c>
      <c r="H69" s="380">
        <f>'NG-based'!AU20</f>
        <v>0</v>
      </c>
      <c r="I69" s="380">
        <f>'NG-based'!AV20</f>
        <v>0</v>
      </c>
      <c r="J69" s="479">
        <f>SUM(E69:I69)</f>
        <v>3.1782270849595986E-4</v>
      </c>
    </row>
    <row r="70" spans="2:10">
      <c r="B70" s="101" t="str">
        <f>'NG-based'!AO21</f>
        <v>LCA-GHG</v>
      </c>
      <c r="C70" s="480" t="s">
        <v>686</v>
      </c>
      <c r="D70" s="102" t="str">
        <f>'NG-based'!AP21</f>
        <v>g/MJ</v>
      </c>
      <c r="E70" s="481">
        <f>'NG-based'!AQ21</f>
        <v>8.6172757468155936</v>
      </c>
      <c r="F70" s="481">
        <f>'NG-based'!AR21</f>
        <v>1.0127108565691105</v>
      </c>
      <c r="G70" s="481">
        <f>'NG-based'!AS21</f>
        <v>11.402692356527393</v>
      </c>
      <c r="H70" s="481">
        <f>'NG-based'!AU21</f>
        <v>0.4816401677656395</v>
      </c>
      <c r="I70" s="481">
        <f>'NG-based'!AV21</f>
        <v>57.122999999999998</v>
      </c>
      <c r="J70" s="482">
        <f>SUM(E70:I70)</f>
        <v>78.637319127677728</v>
      </c>
    </row>
    <row r="73" spans="2:10">
      <c r="B73" t="str">
        <f>'NG-based'!AY1</f>
        <v>GTL</v>
      </c>
    </row>
    <row r="74" spans="2:10">
      <c r="B74" s="107"/>
      <c r="C74" s="108"/>
      <c r="D74" s="108"/>
      <c r="E74" s="108" t="str">
        <f>'NG-based'!BA2</f>
        <v>NG开采处理阶段</v>
      </c>
      <c r="F74" s="108" t="str">
        <f>'NG-based'!BB2</f>
        <v>NG运输阶段</v>
      </c>
      <c r="G74" s="108" t="str">
        <f>'NG-based'!BC2</f>
        <v>GTL生产</v>
      </c>
      <c r="H74" s="108" t="str">
        <f>'NG-based'!BE2</f>
        <v>GTL输配阶段</v>
      </c>
      <c r="I74" s="108" t="str">
        <f>'NG-based'!BF2</f>
        <v>使用阶段</v>
      </c>
      <c r="J74" s="469" t="s">
        <v>676</v>
      </c>
    </row>
    <row r="75" spans="2:10">
      <c r="B75" s="93" t="str">
        <f>'NG-based'!AY13</f>
        <v>LCA-Coal</v>
      </c>
      <c r="C75" s="478" t="s">
        <v>679</v>
      </c>
      <c r="D75" s="35" t="str">
        <f>'NG-based'!AZ13</f>
        <v>KJ/MJ</v>
      </c>
      <c r="E75" s="380">
        <f>'NG-based'!BA13</f>
        <v>5.9156316063693817</v>
      </c>
      <c r="F75" s="380">
        <f>'NG-based'!BB13</f>
        <v>0.29286326083491621</v>
      </c>
      <c r="G75" s="380">
        <f>'NG-based'!BC13</f>
        <v>38.413047017495145</v>
      </c>
      <c r="H75" s="380">
        <f>'NG-based'!BE13</f>
        <v>2.7971572740058148</v>
      </c>
      <c r="I75" s="380">
        <f>'NG-based'!BF13</f>
        <v>0</v>
      </c>
      <c r="J75" s="479">
        <f>SUM(E75:I75)</f>
        <v>47.418699158705252</v>
      </c>
    </row>
    <row r="76" spans="2:10">
      <c r="B76" s="93" t="str">
        <f>'NG-based'!AY14</f>
        <v>LCA-NG</v>
      </c>
      <c r="C76" s="478" t="s">
        <v>680</v>
      </c>
      <c r="D76" s="35" t="str">
        <f>'NG-based'!AZ14</f>
        <v>KJ/MJ</v>
      </c>
      <c r="E76" s="380">
        <f>'NG-based'!BA14</f>
        <v>137.68425906386102</v>
      </c>
      <c r="F76" s="380">
        <f>'NG-based'!BB14</f>
        <v>0.99015125989321484</v>
      </c>
      <c r="G76" s="380">
        <f>'NG-based'!BC14</f>
        <v>894.05025006873802</v>
      </c>
      <c r="H76" s="380">
        <f>'NG-based'!BE14</f>
        <v>0.54501075267156851</v>
      </c>
      <c r="I76" s="380">
        <f>'NG-based'!BF14</f>
        <v>1000</v>
      </c>
      <c r="J76" s="479">
        <f>SUM(E76:I76)</f>
        <v>2033.2696711451638</v>
      </c>
    </row>
    <row r="77" spans="2:10">
      <c r="B77" s="93" t="str">
        <f>'NG-based'!AY15</f>
        <v>LCA-Oil</v>
      </c>
      <c r="C77" s="478" t="s">
        <v>681</v>
      </c>
      <c r="D77" s="35" t="str">
        <f>'NG-based'!AZ15</f>
        <v>KJ/MJ</v>
      </c>
      <c r="E77" s="380">
        <f>'NG-based'!BA15</f>
        <v>6.3266571562755809</v>
      </c>
      <c r="F77" s="380">
        <f>'NG-based'!BB15</f>
        <v>5.2574433635484398E-2</v>
      </c>
      <c r="G77" s="380">
        <f>'NG-based'!BC15</f>
        <v>41.08203400392933</v>
      </c>
      <c r="H77" s="380">
        <f>'NG-based'!BE15</f>
        <v>8.9344246406559069</v>
      </c>
      <c r="I77" s="380">
        <f>'NG-based'!BF15</f>
        <v>0</v>
      </c>
      <c r="J77" s="479">
        <f>SUM(E77:I77)</f>
        <v>56.3956902344963</v>
      </c>
    </row>
    <row r="78" spans="2:10">
      <c r="B78" s="93" t="str">
        <f>'NG-based'!AY16</f>
        <v>LCA-PE</v>
      </c>
      <c r="C78" s="478" t="s">
        <v>682</v>
      </c>
      <c r="D78" s="35" t="str">
        <f>'NG-based'!AZ16</f>
        <v>KJ/MJ</v>
      </c>
      <c r="E78" s="380">
        <f>'NG-based'!BA16</f>
        <v>149.92654782650598</v>
      </c>
      <c r="F78" s="380">
        <f>'NG-based'!BB16</f>
        <v>1.3355889543636152</v>
      </c>
      <c r="G78" s="380">
        <f>'NG-based'!BC16</f>
        <v>973.54533109016256</v>
      </c>
      <c r="H78" s="380">
        <f>'NG-based'!BE16</f>
        <v>12.27659266733329</v>
      </c>
      <c r="I78" s="380">
        <f>'NG-based'!BF16</f>
        <v>1000</v>
      </c>
      <c r="J78" s="479">
        <f>SUM(E78:I78)</f>
        <v>2137.0840605383655</v>
      </c>
    </row>
    <row r="79" spans="2:10">
      <c r="B79" s="93"/>
      <c r="C79" s="35"/>
      <c r="D79" s="35"/>
      <c r="E79" s="380"/>
      <c r="F79" s="380"/>
      <c r="G79" s="380"/>
      <c r="H79" s="380"/>
      <c r="I79" s="380"/>
      <c r="J79" s="84"/>
    </row>
    <row r="80" spans="2:10">
      <c r="B80" s="93" t="str">
        <f>'NG-based'!AY18</f>
        <v>LCA-CO2</v>
      </c>
      <c r="C80" s="478" t="s">
        <v>683</v>
      </c>
      <c r="D80" s="35" t="str">
        <f>'NG-based'!AZ18</f>
        <v>mg/MJ</v>
      </c>
      <c r="E80" s="380">
        <f>'NG-based'!BA18</f>
        <v>8776.1118423206826</v>
      </c>
      <c r="F80" s="380">
        <f>'NG-based'!BB18</f>
        <v>85.178482322099768</v>
      </c>
      <c r="G80" s="380">
        <f>'NG-based'!BC18</f>
        <v>56987.523777999479</v>
      </c>
      <c r="H80" s="380">
        <f>'NG-based'!BE18</f>
        <v>329.58659917207075</v>
      </c>
      <c r="I80" s="380">
        <f>'NG-based'!BF18</f>
        <v>72600</v>
      </c>
      <c r="J80" s="479">
        <f>SUM(E80:I80)</f>
        <v>138778.40070181433</v>
      </c>
    </row>
    <row r="81" spans="1:18">
      <c r="B81" s="93" t="str">
        <f>'NG-based'!AY19</f>
        <v>LCA-CH4</v>
      </c>
      <c r="C81" s="478" t="s">
        <v>684</v>
      </c>
      <c r="D81" s="35" t="str">
        <f>'NG-based'!AZ19</f>
        <v>mg/MJ</v>
      </c>
      <c r="E81" s="380">
        <f>'NG-based'!BA19</f>
        <v>108.54356393928958</v>
      </c>
      <c r="F81" s="380">
        <f>'NG-based'!BB19</f>
        <v>0.1936103994136128</v>
      </c>
      <c r="G81" s="380">
        <f>'NG-based'!BC19</f>
        <v>81.451405940845348</v>
      </c>
      <c r="H81" s="380">
        <f>'NG-based'!BE19</f>
        <v>1.2617888857874684</v>
      </c>
      <c r="I81" s="380">
        <f>'NG-based'!BF19</f>
        <v>0</v>
      </c>
      <c r="J81" s="479">
        <f>SUM(E81:I81)</f>
        <v>191.45036916533601</v>
      </c>
    </row>
    <row r="82" spans="1:18">
      <c r="B82" s="93" t="str">
        <f>'NG-based'!AY20</f>
        <v>LCA-N2O</v>
      </c>
      <c r="C82" s="478" t="s">
        <v>685</v>
      </c>
      <c r="D82" s="35" t="str">
        <f>'NG-based'!AZ20</f>
        <v>0.001mg/MJ</v>
      </c>
      <c r="E82" s="380">
        <f>'NG-based'!BA20</f>
        <v>1.8440001168521994E-4</v>
      </c>
      <c r="F82" s="380">
        <f>'NG-based'!BB20</f>
        <v>1.6735002622552761E-6</v>
      </c>
      <c r="G82" s="380">
        <f>'NG-based'!BC20</f>
        <v>1.1973981461699413E-3</v>
      </c>
      <c r="H82" s="380">
        <f>'NG-based'!BE20</f>
        <v>6.2466425136648417E-3</v>
      </c>
      <c r="I82" s="380">
        <f>'NG-based'!BF20</f>
        <v>0</v>
      </c>
      <c r="J82" s="479">
        <f>SUM(E82:I82)</f>
        <v>7.630114171782258E-3</v>
      </c>
    </row>
    <row r="83" spans="1:18">
      <c r="B83" s="101" t="str">
        <f>'NG-based'!AY21</f>
        <v>LCA-GHG</v>
      </c>
      <c r="C83" s="480" t="s">
        <v>686</v>
      </c>
      <c r="D83" s="102" t="str">
        <f>'NG-based'!AZ21</f>
        <v>g/MJ</v>
      </c>
      <c r="E83" s="481">
        <f>'NG-based'!BA21</f>
        <v>11.489700995754127</v>
      </c>
      <c r="F83" s="481">
        <f>'NG-based'!BB21</f>
        <v>9.0018742806143165E-2</v>
      </c>
      <c r="G83" s="481">
        <f>'NG-based'!BC21</f>
        <v>59.023809283345258</v>
      </c>
      <c r="H83" s="481">
        <f>'NG-based'!BE21</f>
        <v>0.36113318281622653</v>
      </c>
      <c r="I83" s="481">
        <f>'NG-based'!BF21</f>
        <v>72.599999999999994</v>
      </c>
      <c r="J83" s="482">
        <f>SUM(E83:I83)</f>
        <v>143.56466220472174</v>
      </c>
    </row>
    <row r="86" spans="1:18">
      <c r="A86" t="s">
        <v>666</v>
      </c>
    </row>
    <row r="88" spans="1:18">
      <c r="B88" t="str">
        <f>'Oil-based'!F1</f>
        <v>柴油</v>
      </c>
    </row>
    <row r="89" spans="1:18">
      <c r="B89" s="107"/>
      <c r="C89" s="108"/>
      <c r="D89" s="108"/>
      <c r="E89" s="108" t="str">
        <f>'Oil-based'!F2</f>
        <v>原油开采处理</v>
      </c>
      <c r="F89" s="108" t="str">
        <f>'Oil-based'!G2</f>
        <v>原油运输</v>
      </c>
      <c r="G89" s="108" t="str">
        <f>'Oil-based'!H2</f>
        <v>柴油炼制</v>
      </c>
      <c r="H89" s="108" t="str">
        <f>'Oil-based'!I2</f>
        <v>柴油输配</v>
      </c>
      <c r="I89" s="108" t="str">
        <f>'Oil-based'!J2</f>
        <v>柴油使用</v>
      </c>
      <c r="J89" s="469" t="str">
        <f>'Oil-based'!K2</f>
        <v>合计</v>
      </c>
    </row>
    <row r="90" spans="1:18">
      <c r="B90" s="93" t="str">
        <f>'Oil-based'!E5</f>
        <v>LCA-Coal</v>
      </c>
      <c r="C90" s="478" t="s">
        <v>679</v>
      </c>
      <c r="D90" s="35" t="s">
        <v>668</v>
      </c>
      <c r="E90" s="483">
        <f>'Oil-based'!F5</f>
        <v>3.6731070826015615E-2</v>
      </c>
      <c r="F90" s="483">
        <f>'Oil-based'!G5</f>
        <v>7.6483395142159169E-3</v>
      </c>
      <c r="G90" s="483">
        <f>'Oil-based'!H5</f>
        <v>3.0192737536267684E-2</v>
      </c>
      <c r="H90" s="483">
        <f>'Oil-based'!I5</f>
        <v>2.7971572740058148E-3</v>
      </c>
      <c r="I90" s="483">
        <f>'Oil-based'!J5</f>
        <v>0</v>
      </c>
      <c r="J90" s="347">
        <f>'Oil-based'!K5</f>
        <v>7.7369305150505024E-2</v>
      </c>
      <c r="R90" s="314"/>
    </row>
    <row r="91" spans="1:18">
      <c r="B91" s="93" t="str">
        <f>'Oil-based'!E6</f>
        <v>LCA-NG</v>
      </c>
      <c r="C91" s="478" t="s">
        <v>680</v>
      </c>
      <c r="D91" s="35" t="s">
        <v>668</v>
      </c>
      <c r="E91" s="483">
        <f>'Oil-based'!F6</f>
        <v>4.3746751981384363E-2</v>
      </c>
      <c r="F91" s="483">
        <f>'Oil-based'!G6</f>
        <v>9.5335311632136334E-4</v>
      </c>
      <c r="G91" s="483">
        <f>'Oil-based'!H6</f>
        <v>9.1354134032836688E-3</v>
      </c>
      <c r="H91" s="483">
        <f>'Oil-based'!I6</f>
        <v>5.4501075267156848E-4</v>
      </c>
      <c r="I91" s="483">
        <f>'Oil-based'!J6</f>
        <v>0</v>
      </c>
      <c r="J91" s="347">
        <f>'Oil-based'!K6</f>
        <v>5.4380529253660971E-2</v>
      </c>
      <c r="R91" s="314"/>
    </row>
    <row r="92" spans="1:18">
      <c r="B92" s="93" t="str">
        <f>'Oil-based'!E7</f>
        <v>LCA-Oil</v>
      </c>
      <c r="C92" s="478" t="s">
        <v>681</v>
      </c>
      <c r="D92" s="35" t="s">
        <v>668</v>
      </c>
      <c r="E92" s="483">
        <f>'Oil-based'!F7</f>
        <v>3.936502969774841E-2</v>
      </c>
      <c r="F92" s="483">
        <f>'Oil-based'!G7</f>
        <v>1.0023428574974628E-2</v>
      </c>
      <c r="G92" s="483">
        <f>'Oil-based'!H7</f>
        <v>9.8237511507565378E-2</v>
      </c>
      <c r="H92" s="483">
        <f>'Oil-based'!I7</f>
        <v>8.9344246406559066E-3</v>
      </c>
      <c r="I92" s="483">
        <f>'Oil-based'!J7</f>
        <v>1</v>
      </c>
      <c r="J92" s="347">
        <f>'Oil-based'!K7</f>
        <v>1.1565603944209444</v>
      </c>
      <c r="R92" s="314"/>
    </row>
    <row r="93" spans="1:18">
      <c r="B93" s="93" t="str">
        <f>'Oil-based'!E8</f>
        <v>LCA-PE</v>
      </c>
      <c r="C93" s="478" t="s">
        <v>682</v>
      </c>
      <c r="D93" s="35" t="s">
        <v>668</v>
      </c>
      <c r="E93" s="483">
        <f>'Oil-based'!F8</f>
        <v>0.1198428525051484</v>
      </c>
      <c r="F93" s="483">
        <f>'Oil-based'!G8</f>
        <v>1.8625121205511908E-2</v>
      </c>
      <c r="G93" s="483">
        <f>'Oil-based'!H8</f>
        <v>0.13756566244711674</v>
      </c>
      <c r="H93" s="483">
        <f>'Oil-based'!I8</f>
        <v>1.227659266733329E-2</v>
      </c>
      <c r="I93" s="483">
        <f>'Oil-based'!J8</f>
        <v>1</v>
      </c>
      <c r="J93" s="347">
        <f>'Oil-based'!K8</f>
        <v>1.2883102288251103</v>
      </c>
      <c r="R93" s="314"/>
    </row>
    <row r="94" spans="1:18">
      <c r="B94" s="93"/>
      <c r="C94" s="35"/>
      <c r="D94" s="35"/>
      <c r="E94" s="483"/>
      <c r="F94" s="483"/>
      <c r="G94" s="483"/>
      <c r="H94" s="483"/>
      <c r="I94" s="483"/>
      <c r="J94" s="347"/>
      <c r="R94" s="314"/>
    </row>
    <row r="95" spans="1:18">
      <c r="B95" s="93" t="str">
        <f>'Oil-based'!E10</f>
        <v>LCA-CO2</v>
      </c>
      <c r="C95" s="478" t="s">
        <v>683</v>
      </c>
      <c r="D95" s="35" t="s">
        <v>669</v>
      </c>
      <c r="E95" s="483">
        <f>'Oil-based'!F10</f>
        <v>7.6905473665185173</v>
      </c>
      <c r="F95" s="483">
        <f>'Oil-based'!G10</f>
        <v>1.419109626130169</v>
      </c>
      <c r="G95" s="483">
        <f>'Oil-based'!H10</f>
        <v>9.0147010312795501</v>
      </c>
      <c r="H95" s="483">
        <f>'Oil-based'!I10</f>
        <v>0.92646801250540411</v>
      </c>
      <c r="I95" s="483">
        <f>'Oil-based'!J10</f>
        <v>72.585333333333324</v>
      </c>
      <c r="J95" s="347">
        <f>'Oil-based'!K10</f>
        <v>91.636159369766972</v>
      </c>
      <c r="R95" s="314"/>
    </row>
    <row r="96" spans="1:18">
      <c r="B96" s="93" t="str">
        <f>'Oil-based'!E11</f>
        <v>LCA-CH4</v>
      </c>
      <c r="C96" s="478" t="s">
        <v>684</v>
      </c>
      <c r="D96" s="35" t="s">
        <v>669</v>
      </c>
      <c r="E96" s="483">
        <f>'Oil-based'!F11</f>
        <v>2.792613581328373E-2</v>
      </c>
      <c r="F96" s="483">
        <f>'Oil-based'!G11</f>
        <v>3.2622241654549013E-3</v>
      </c>
      <c r="G96" s="483">
        <f>'Oil-based'!H11</f>
        <v>1.2636552050258666E-2</v>
      </c>
      <c r="H96" s="483">
        <f>'Oil-based'!I11</f>
        <v>1.2840088857874684E-3</v>
      </c>
      <c r="I96" s="483">
        <f>'Oil-based'!J11</f>
        <v>4.0000000000000001E-3</v>
      </c>
      <c r="J96" s="347">
        <f>'Oil-based'!K11</f>
        <v>4.9108920914784762E-2</v>
      </c>
      <c r="R96" s="314"/>
    </row>
    <row r="97" spans="2:18">
      <c r="B97" s="93" t="str">
        <f>'Oil-based'!E12</f>
        <v>LCA-N2O</v>
      </c>
      <c r="C97" s="478" t="s">
        <v>685</v>
      </c>
      <c r="D97" s="35" t="s">
        <v>670</v>
      </c>
      <c r="E97" s="483">
        <f>'Oil-based'!F12</f>
        <v>3.1092671852512964E-4</v>
      </c>
      <c r="F97" s="483">
        <f>'Oil-based'!G12</f>
        <v>2.2929415886280858E-5</v>
      </c>
      <c r="G97" s="483">
        <f>'Oil-based'!H12</f>
        <v>7.0103963843527725E-5</v>
      </c>
      <c r="H97" s="483">
        <f>'Oil-based'!I12</f>
        <v>6.1746642513664846E-5</v>
      </c>
      <c r="I97" s="483">
        <f>'Oil-based'!J12</f>
        <v>2.8000000000000001E-2</v>
      </c>
      <c r="J97" s="347">
        <f>'Oil-based'!K12</f>
        <v>2.8465706740768603E-2</v>
      </c>
      <c r="R97" s="314"/>
    </row>
    <row r="98" spans="2:18">
      <c r="B98" s="101" t="str">
        <f>'Oil-based'!E13</f>
        <v>LCA-GHG</v>
      </c>
      <c r="C98" s="480" t="s">
        <v>686</v>
      </c>
      <c r="D98" s="102" t="s">
        <v>669</v>
      </c>
      <c r="E98" s="481">
        <f>'Oil-based'!F13</f>
        <v>8.3887934180127317</v>
      </c>
      <c r="F98" s="481">
        <f>'Oil-based'!G13</f>
        <v>1.5006720632324757</v>
      </c>
      <c r="G98" s="481">
        <f>'Oil-based'!H13</f>
        <v>9.3306357235172435</v>
      </c>
      <c r="H98" s="481">
        <f>'Oil-based'!I13</f>
        <v>0.95858663514955988</v>
      </c>
      <c r="I98" s="481">
        <f>'Oil-based'!J13</f>
        <v>72.693677333333312</v>
      </c>
      <c r="J98" s="482">
        <f>'Oil-based'!K13</f>
        <v>92.872365173245328</v>
      </c>
      <c r="R98" s="314"/>
    </row>
    <row r="101" spans="2:18">
      <c r="B101" t="s">
        <v>667</v>
      </c>
    </row>
    <row r="102" spans="2:18">
      <c r="B102" s="107"/>
      <c r="C102" s="108"/>
      <c r="D102" s="108"/>
      <c r="E102" s="108" t="str">
        <f>'Oil-based'!N2</f>
        <v>原油开采处理</v>
      </c>
      <c r="F102" s="108" t="str">
        <f>'Oil-based'!O2</f>
        <v>原油运输</v>
      </c>
      <c r="G102" s="108" t="str">
        <f>'Oil-based'!P2</f>
        <v>汽油炼制</v>
      </c>
      <c r="H102" s="108" t="str">
        <f>'Oil-based'!Q2</f>
        <v>汽油输配</v>
      </c>
      <c r="I102" s="108" t="str">
        <f>'Oil-based'!R2</f>
        <v>汽油使用</v>
      </c>
      <c r="J102" s="469" t="str">
        <f>'Oil-based'!S2</f>
        <v>合计</v>
      </c>
    </row>
    <row r="103" spans="2:18">
      <c r="B103" s="346" t="str">
        <f>'Oil-based'!M5</f>
        <v>LCA-Coal</v>
      </c>
      <c r="C103" s="478" t="s">
        <v>679</v>
      </c>
      <c r="D103" s="35" t="s">
        <v>668</v>
      </c>
      <c r="E103" s="483">
        <f>'Oil-based'!N5</f>
        <v>3.6978418104305286E-2</v>
      </c>
      <c r="F103" s="483">
        <f>'Oil-based'!O5</f>
        <v>7.6998434840086167E-3</v>
      </c>
      <c r="G103" s="483">
        <f>'Oil-based'!P5</f>
        <v>2.866052938964566E-2</v>
      </c>
      <c r="H103" s="483">
        <f>'Oil-based'!Q5</f>
        <v>2.3342550930374635E-3</v>
      </c>
      <c r="I103" s="483">
        <f>'Oil-based'!R5</f>
        <v>0</v>
      </c>
      <c r="J103" s="347">
        <f>'Oil-based'!S5</f>
        <v>7.5673046070997022E-2</v>
      </c>
    </row>
    <row r="104" spans="2:18">
      <c r="B104" s="346" t="str">
        <f>'Oil-based'!M6</f>
        <v>LCA-NG</v>
      </c>
      <c r="C104" s="478" t="s">
        <v>680</v>
      </c>
      <c r="D104" s="35" t="s">
        <v>668</v>
      </c>
      <c r="E104" s="483">
        <f>'Oil-based'!N6</f>
        <v>4.4041342903817927E-2</v>
      </c>
      <c r="F104" s="483">
        <f>'Oil-based'!O6</f>
        <v>9.5977300262655785E-4</v>
      </c>
      <c r="G104" s="483">
        <f>'Oil-based'!P6</f>
        <v>8.6718133464005337E-3</v>
      </c>
      <c r="H104" s="483">
        <f>'Oil-based'!Q6</f>
        <v>5.5596949037206708E-4</v>
      </c>
      <c r="I104" s="483">
        <f>'Oil-based'!R6</f>
        <v>0</v>
      </c>
      <c r="J104" s="347">
        <f>'Oil-based'!S6</f>
        <v>5.4228898743217083E-2</v>
      </c>
    </row>
    <row r="105" spans="2:18">
      <c r="B105" s="346" t="str">
        <f>'Oil-based'!M7</f>
        <v>LCA-Oil</v>
      </c>
      <c r="C105" s="478" t="s">
        <v>681</v>
      </c>
      <c r="D105" s="35" t="s">
        <v>668</v>
      </c>
      <c r="E105" s="483">
        <f>'Oil-based'!N7</f>
        <v>3.9630114072817441E-2</v>
      </c>
      <c r="F105" s="483">
        <f>'Oil-based'!O7</f>
        <v>1.0090926410496344E-2</v>
      </c>
      <c r="G105" s="483">
        <f>'Oil-based'!P7</f>
        <v>9.3252196239118429E-2</v>
      </c>
      <c r="H105" s="483">
        <f>'Oil-based'!Q7</f>
        <v>1.0209102158916267E-2</v>
      </c>
      <c r="I105" s="483">
        <f>'Oil-based'!R7</f>
        <v>1</v>
      </c>
      <c r="J105" s="347">
        <f>'Oil-based'!S7</f>
        <v>1.1531823388813485</v>
      </c>
    </row>
    <row r="106" spans="2:18">
      <c r="B106" s="346" t="str">
        <f>'Oil-based'!M8</f>
        <v>LCA-PE</v>
      </c>
      <c r="C106" s="478" t="s">
        <v>682</v>
      </c>
      <c r="D106" s="35" t="s">
        <v>668</v>
      </c>
      <c r="E106" s="483">
        <f>'Oil-based'!N8</f>
        <v>0.12064987508094066</v>
      </c>
      <c r="F106" s="483">
        <f>'Oil-based'!O8</f>
        <v>1.8750542897131517E-2</v>
      </c>
      <c r="G106" s="483">
        <f>'Oil-based'!P8</f>
        <v>0.13058453897516462</v>
      </c>
      <c r="H106" s="483">
        <f>'Oil-based'!Q8</f>
        <v>1.3099326742325798E-2</v>
      </c>
      <c r="I106" s="483">
        <f>'Oil-based'!R8</f>
        <v>1</v>
      </c>
      <c r="J106" s="347">
        <f>'Oil-based'!S8</f>
        <v>1.2830842836955625</v>
      </c>
    </row>
    <row r="107" spans="2:18">
      <c r="B107" s="346"/>
      <c r="C107" s="483"/>
      <c r="D107" s="35"/>
      <c r="E107" s="483"/>
      <c r="F107" s="483"/>
      <c r="G107" s="483"/>
      <c r="H107" s="483"/>
      <c r="I107" s="483"/>
      <c r="J107" s="347"/>
    </row>
    <row r="108" spans="2:18">
      <c r="B108" s="346" t="str">
        <f>'Oil-based'!M10</f>
        <v>LCA-CO2</v>
      </c>
      <c r="C108" s="478" t="s">
        <v>683</v>
      </c>
      <c r="D108" s="35" t="s">
        <v>669</v>
      </c>
      <c r="E108" s="483">
        <f>'Oil-based'!N10</f>
        <v>7.7423355642728504</v>
      </c>
      <c r="F108" s="483">
        <f>'Oil-based'!O10</f>
        <v>1.4286659199088236</v>
      </c>
      <c r="G108" s="483">
        <f>'Oil-based'!P10</f>
        <v>9.5398292466939036</v>
      </c>
      <c r="H108" s="483">
        <f>'Oil-based'!Q10</f>
        <v>0.98557816709093615</v>
      </c>
      <c r="I108" s="483">
        <f>'Oil-based'!R10</f>
        <v>67.914000000000001</v>
      </c>
      <c r="J108" s="347">
        <f>'Oil-based'!S10</f>
        <v>87.610408897966522</v>
      </c>
    </row>
    <row r="109" spans="2:18">
      <c r="B109" s="346" t="str">
        <f>'Oil-based'!M11</f>
        <v>LCA-CH4</v>
      </c>
      <c r="C109" s="478" t="s">
        <v>684</v>
      </c>
      <c r="D109" s="35" t="s">
        <v>669</v>
      </c>
      <c r="E109" s="483">
        <f>'Oil-based'!N11</f>
        <v>2.8114190599905171E-2</v>
      </c>
      <c r="F109" s="483">
        <f>'Oil-based'!O11</f>
        <v>3.284192004952914E-3</v>
      </c>
      <c r="G109" s="483">
        <f>'Oil-based'!P11</f>
        <v>1.3372661878429089E-2</v>
      </c>
      <c r="H109" s="483">
        <f>'Oil-based'!Q11</f>
        <v>1.1104729435819248E-3</v>
      </c>
      <c r="I109" s="483">
        <f>'Oil-based'!R11</f>
        <v>0.08</v>
      </c>
      <c r="J109" s="347">
        <f>'Oil-based'!S11</f>
        <v>0.12588151742686909</v>
      </c>
    </row>
    <row r="110" spans="2:18">
      <c r="B110" s="346" t="str">
        <f>'Oil-based'!M12</f>
        <v>LCA-N2O</v>
      </c>
      <c r="C110" s="478" t="s">
        <v>685</v>
      </c>
      <c r="D110" s="35" t="s">
        <v>670</v>
      </c>
      <c r="E110" s="483">
        <f>'Oil-based'!N12</f>
        <v>3.1302050114146048E-4</v>
      </c>
      <c r="F110" s="483">
        <f>'Oil-based'!O12</f>
        <v>2.3083822727265918E-5</v>
      </c>
      <c r="G110" s="483">
        <f>'Oil-based'!P12</f>
        <v>7.4187689892665347E-5</v>
      </c>
      <c r="H110" s="483">
        <f>'Oil-based'!Q12</f>
        <v>6.0883237366178863E-5</v>
      </c>
      <c r="I110" s="483">
        <f>'Oil-based'!R12</f>
        <v>2E-3</v>
      </c>
      <c r="J110" s="347">
        <f>'Oil-based'!S12</f>
        <v>2.4711752511275705E-3</v>
      </c>
    </row>
    <row r="111" spans="2:18">
      <c r="B111" s="484" t="str">
        <f>'Oil-based'!M13</f>
        <v>LCA-GHG</v>
      </c>
      <c r="C111" s="480" t="s">
        <v>686</v>
      </c>
      <c r="D111" s="102" t="s">
        <v>669</v>
      </c>
      <c r="E111" s="481">
        <f>'Oil-based'!N13</f>
        <v>8.4452836093798194</v>
      </c>
      <c r="F111" s="481">
        <f>'Oil-based'!O13</f>
        <v>1.5107775990118193</v>
      </c>
      <c r="G111" s="481">
        <f>'Oil-based'!P13</f>
        <v>9.8741679015862189</v>
      </c>
      <c r="H111" s="481">
        <f>'Oil-based'!Q13</f>
        <v>1.0133581338852193</v>
      </c>
      <c r="I111" s="481">
        <f>'Oil-based'!R13</f>
        <v>69.914596000000003</v>
      </c>
      <c r="J111" s="482">
        <f>'Oil-based'!S13</f>
        <v>90.758183243863073</v>
      </c>
    </row>
    <row r="114" spans="1:13">
      <c r="E114" t="str">
        <f>'Oil-based'!V1</f>
        <v>燃料油</v>
      </c>
    </row>
    <row r="115" spans="1:13">
      <c r="B115" s="107"/>
      <c r="C115" s="108"/>
      <c r="D115" s="108"/>
      <c r="E115" s="108" t="str">
        <f>'Oil-based'!V2</f>
        <v>原油开采处理</v>
      </c>
      <c r="F115" s="108" t="str">
        <f>'Oil-based'!W2</f>
        <v>原油运输</v>
      </c>
      <c r="G115" s="108" t="str">
        <f>'Oil-based'!X2</f>
        <v>燃料油炼制</v>
      </c>
      <c r="H115" s="108" t="str">
        <f>'Oil-based'!Y2</f>
        <v>燃料油输配</v>
      </c>
      <c r="I115" s="108" t="str">
        <f>'Oil-based'!Z2</f>
        <v>燃料油使用</v>
      </c>
      <c r="J115" s="469" t="str">
        <f>'Oil-based'!AA2</f>
        <v>合计</v>
      </c>
    </row>
    <row r="116" spans="1:13">
      <c r="B116" s="346" t="str">
        <f>'Oil-based'!U5</f>
        <v>LCA-Coal</v>
      </c>
      <c r="C116" s="478" t="s">
        <v>679</v>
      </c>
      <c r="D116" s="35" t="s">
        <v>668</v>
      </c>
      <c r="E116" s="483">
        <f>'Oil-based'!V5</f>
        <v>3.4328122400075899E-2</v>
      </c>
      <c r="F116" s="483">
        <f>'Oil-based'!W5</f>
        <v>6.9335452308926515E-3</v>
      </c>
      <c r="G116" s="483">
        <f>'Oil-based'!X5</f>
        <v>1.5776438196135226E-2</v>
      </c>
      <c r="H116" s="483">
        <f>'Oil-based'!Y5</f>
        <v>2.7971572740058148E-3</v>
      </c>
      <c r="I116" s="483">
        <f>'Oil-based'!Z5</f>
        <v>0</v>
      </c>
      <c r="J116" s="347">
        <f>'Oil-based'!AA5</f>
        <v>5.9835263101109593E-2</v>
      </c>
    </row>
    <row r="117" spans="1:13">
      <c r="B117" s="346" t="str">
        <f>'Oil-based'!U6</f>
        <v>LCA-NG</v>
      </c>
      <c r="C117" s="478" t="s">
        <v>680</v>
      </c>
      <c r="D117" s="35" t="s">
        <v>668</v>
      </c>
      <c r="E117" s="483">
        <f>'Oil-based'!V6</f>
        <v>4.088483735571033E-2</v>
      </c>
      <c r="F117" s="483">
        <f>'Oil-based'!W6</f>
        <v>8.6425516816303165E-4</v>
      </c>
      <c r="G117" s="483">
        <f>'Oil-based'!X6</f>
        <v>4.7734752365507531E-3</v>
      </c>
      <c r="H117" s="483">
        <f>'Oil-based'!Y6</f>
        <v>5.4501075267156848E-4</v>
      </c>
      <c r="I117" s="483">
        <f>'Oil-based'!Z6</f>
        <v>0</v>
      </c>
      <c r="J117" s="347">
        <f>'Oil-based'!AA6</f>
        <v>4.7067578513095683E-2</v>
      </c>
    </row>
    <row r="118" spans="1:13">
      <c r="B118" s="346" t="str">
        <f>'Oil-based'!U7</f>
        <v>LCA-Oil</v>
      </c>
      <c r="C118" s="478" t="s">
        <v>681</v>
      </c>
      <c r="D118" s="35" t="s">
        <v>668</v>
      </c>
      <c r="E118" s="483">
        <f>'Oil-based'!V7</f>
        <v>3.6789767555315114E-2</v>
      </c>
      <c r="F118" s="483">
        <f>'Oil-based'!W7</f>
        <v>9.0866645320900295E-3</v>
      </c>
      <c r="G118" s="483">
        <f>'Oil-based'!X7</f>
        <v>5.1331484168322068E-2</v>
      </c>
      <c r="H118" s="483">
        <f>'Oil-based'!Y7</f>
        <v>8.9344246406559066E-3</v>
      </c>
      <c r="I118" s="483">
        <f>'Oil-based'!Z7</f>
        <v>1</v>
      </c>
      <c r="J118" s="347">
        <f>'Oil-based'!AA7</f>
        <v>1.1061423408963831</v>
      </c>
    </row>
    <row r="119" spans="1:13">
      <c r="B119" s="346" t="str">
        <f>'Oil-based'!U8</f>
        <v>LCA-PE</v>
      </c>
      <c r="C119" s="478" t="s">
        <v>682</v>
      </c>
      <c r="D119" s="35" t="s">
        <v>668</v>
      </c>
      <c r="E119" s="483">
        <f>'Oil-based'!V8</f>
        <v>0.11200272731110135</v>
      </c>
      <c r="F119" s="483">
        <f>'Oil-based'!W8</f>
        <v>1.6884464931145711E-2</v>
      </c>
      <c r="G119" s="483">
        <f>'Oil-based'!X8</f>
        <v>7.1881397601008049E-2</v>
      </c>
      <c r="H119" s="483">
        <f>'Oil-based'!Y8</f>
        <v>1.227659266733329E-2</v>
      </c>
      <c r="I119" s="483">
        <f>'Oil-based'!Z8</f>
        <v>1</v>
      </c>
      <c r="J119" s="347">
        <f>'Oil-based'!AA8</f>
        <v>1.2130451825105883</v>
      </c>
    </row>
    <row r="120" spans="1:13">
      <c r="B120" s="346"/>
      <c r="C120" s="483"/>
      <c r="D120" s="35"/>
      <c r="E120" s="483"/>
      <c r="F120" s="483"/>
      <c r="G120" s="483"/>
      <c r="H120" s="483"/>
      <c r="I120" s="483"/>
      <c r="J120" s="347"/>
    </row>
    <row r="121" spans="1:13">
      <c r="B121" s="346" t="str">
        <f>'Oil-based'!U10</f>
        <v>LCA-CO2</v>
      </c>
      <c r="C121" s="478" t="s">
        <v>683</v>
      </c>
      <c r="D121" s="35" t="s">
        <v>669</v>
      </c>
      <c r="E121" s="483">
        <f>'Oil-based'!V10</f>
        <v>7.1874313866843105</v>
      </c>
      <c r="F121" s="483">
        <f>'Oil-based'!W10</f>
        <v>1.2864832637306634</v>
      </c>
      <c r="G121" s="483">
        <f>'Oil-based'!X10</f>
        <v>5.2512821541434329</v>
      </c>
      <c r="H121" s="483">
        <f>'Oil-based'!Y10</f>
        <v>0.92646801250540411</v>
      </c>
      <c r="I121" s="483">
        <f>'Oil-based'!Z10</f>
        <v>75.819333333333333</v>
      </c>
      <c r="J121" s="347">
        <f>'Oil-based'!AA10</f>
        <v>90.470998150397151</v>
      </c>
    </row>
    <row r="122" spans="1:13">
      <c r="B122" s="346" t="str">
        <f>'Oil-based'!U11</f>
        <v>LCA-CH4</v>
      </c>
      <c r="C122" s="478" t="s">
        <v>684</v>
      </c>
      <c r="D122" s="35" t="s">
        <v>669</v>
      </c>
      <c r="E122" s="483">
        <f>'Oil-based'!V11</f>
        <v>2.6099206660769612E-2</v>
      </c>
      <c r="F122" s="483">
        <f>'Oil-based'!W11</f>
        <v>2.957345024034462E-3</v>
      </c>
      <c r="G122" s="483">
        <f>'Oil-based'!X11</f>
        <v>7.3610982817040854E-3</v>
      </c>
      <c r="H122" s="483">
        <f>'Oil-based'!Y11</f>
        <v>1.2840088857874684E-3</v>
      </c>
      <c r="I122" s="483">
        <f>'Oil-based'!Z11</f>
        <v>2E-3</v>
      </c>
      <c r="J122" s="347">
        <f>'Oil-based'!AA11</f>
        <v>3.9701658852295631E-2</v>
      </c>
    </row>
    <row r="123" spans="1:13">
      <c r="B123" s="346" t="str">
        <f>'Oil-based'!U12</f>
        <v>LCA-N2O</v>
      </c>
      <c r="C123" s="478" t="s">
        <v>685</v>
      </c>
      <c r="D123" s="35" t="s">
        <v>670</v>
      </c>
      <c r="E123" s="483">
        <f>'Oil-based'!V12</f>
        <v>2.9058587759507479E-4</v>
      </c>
      <c r="F123" s="483">
        <f>'Oil-based'!W12</f>
        <v>2.0786491220738548E-5</v>
      </c>
      <c r="G123" s="483">
        <f>'Oil-based'!X12</f>
        <v>4.0837260491375421E-5</v>
      </c>
      <c r="H123" s="483">
        <f>'Oil-based'!Y12</f>
        <v>6.1746642513664846E-5</v>
      </c>
      <c r="I123" s="483">
        <f>'Oil-based'!Z12</f>
        <v>0</v>
      </c>
      <c r="J123" s="347">
        <f>'Oil-based'!AA12</f>
        <v>4.1395627182085358E-4</v>
      </c>
    </row>
    <row r="124" spans="1:13">
      <c r="B124" s="484" t="str">
        <f>'Oil-based'!U13</f>
        <v>LCA-GHG</v>
      </c>
      <c r="C124" s="480" t="s">
        <v>686</v>
      </c>
      <c r="D124" s="102" t="s">
        <v>669</v>
      </c>
      <c r="E124" s="481">
        <f>'Oil-based'!V13</f>
        <v>7.8399981477950744</v>
      </c>
      <c r="F124" s="481">
        <f>'Oil-based'!W13</f>
        <v>1.3604230837059088</v>
      </c>
      <c r="G124" s="481">
        <f>'Oil-based'!X13</f>
        <v>5.4353217806896614</v>
      </c>
      <c r="H124" s="481">
        <f>'Oil-based'!Y13</f>
        <v>0.95858663514955988</v>
      </c>
      <c r="I124" s="481">
        <f>'Oil-based'!Z13</f>
        <v>75.86933333333333</v>
      </c>
      <c r="J124" s="482">
        <f>'Oil-based'!AA13</f>
        <v>91.463662980673533</v>
      </c>
    </row>
    <row r="127" spans="1:13">
      <c r="A127" t="s">
        <v>674</v>
      </c>
      <c r="B127" s="107"/>
      <c r="C127" s="108"/>
      <c r="D127" s="108"/>
      <c r="E127" s="108" t="str">
        <f>GridE!C4</f>
        <v>煤电</v>
      </c>
      <c r="F127" s="108" t="str">
        <f>GridE!D4</f>
        <v>气电</v>
      </c>
      <c r="G127" s="108" t="str">
        <f>GridE!E4</f>
        <v>油电</v>
      </c>
      <c r="H127" s="469" t="str">
        <f>GridE!I4</f>
        <v>网电</v>
      </c>
      <c r="I127" s="107"/>
      <c r="J127" s="108"/>
      <c r="K127" s="108" t="str">
        <f>GridE!K3</f>
        <v>东北电网</v>
      </c>
      <c r="L127" s="108" t="str">
        <f>GridE!L3</f>
        <v>华北电网</v>
      </c>
      <c r="M127" s="469" t="str">
        <f>GridE!M3</f>
        <v>南方电网</v>
      </c>
    </row>
    <row r="128" spans="1:13">
      <c r="B128" s="346" t="str">
        <f>B116</f>
        <v>LCA-Coal</v>
      </c>
      <c r="C128" s="478" t="s">
        <v>679</v>
      </c>
      <c r="D128" s="483" t="str">
        <f>D116</f>
        <v>MJ/MJ</v>
      </c>
      <c r="E128" s="483">
        <f>GridE!C6</f>
        <v>3.1403189203537027</v>
      </c>
      <c r="F128" s="483">
        <f>GridE!D6</f>
        <v>1.801506504297844E-2</v>
      </c>
      <c r="G128" s="483">
        <f>GridE!E6</f>
        <v>0.1999841681186818</v>
      </c>
      <c r="H128" s="347">
        <f>GridE!I6</f>
        <v>2.4073229729246317</v>
      </c>
      <c r="I128" s="346" t="str">
        <f>C128</f>
        <v>煤炭</v>
      </c>
      <c r="J128" s="483" t="str">
        <f>D128</f>
        <v>MJ/MJ</v>
      </c>
      <c r="K128" s="483">
        <f>GridE!K6</f>
        <v>2.9518997851324804</v>
      </c>
      <c r="L128" s="483">
        <f>GridE!L6</f>
        <v>3.0775125419466285</v>
      </c>
      <c r="M128" s="347">
        <f>GridE!M6</f>
        <v>2.0438072982299071</v>
      </c>
    </row>
    <row r="129" spans="2:13">
      <c r="B129" s="346" t="str">
        <f>B117</f>
        <v>LCA-NG</v>
      </c>
      <c r="C129" s="478" t="s">
        <v>680</v>
      </c>
      <c r="D129" s="483" t="str">
        <f>D117</f>
        <v>MJ/MJ</v>
      </c>
      <c r="E129" s="483">
        <f>GridE!C7</f>
        <v>7.6647989602251863E-3</v>
      </c>
      <c r="F129" s="483">
        <f>GridE!D7</f>
        <v>2.5971860691664941</v>
      </c>
      <c r="G129" s="483">
        <f>GridE!E7</f>
        <v>0.15731142551168345</v>
      </c>
      <c r="H129" s="347">
        <f>GridE!I7</f>
        <v>0.18717839215522458</v>
      </c>
      <c r="I129" s="346" t="str">
        <f t="shared" ref="I129:J136" si="0">C129</f>
        <v>天然气</v>
      </c>
      <c r="J129" s="483" t="str">
        <f t="shared" si="0"/>
        <v>MJ/MJ</v>
      </c>
      <c r="K129" s="483">
        <f>GridE!K7</f>
        <v>7.2049110226116743E-3</v>
      </c>
      <c r="L129" s="483">
        <f>GridE!L7</f>
        <v>7.511502981020682E-3</v>
      </c>
      <c r="M129" s="347">
        <f>GridE!M7</f>
        <v>5.2321193241463716E-3</v>
      </c>
    </row>
    <row r="130" spans="2:13">
      <c r="B130" s="346" t="str">
        <f>B118</f>
        <v>LCA-Oil</v>
      </c>
      <c r="C130" s="478" t="s">
        <v>681</v>
      </c>
      <c r="D130" s="483" t="str">
        <f>D118</f>
        <v>MJ/MJ</v>
      </c>
      <c r="E130" s="483">
        <f>GridE!C8</f>
        <v>4.2512555205067866E-2</v>
      </c>
      <c r="F130" s="483">
        <f>GridE!D8</f>
        <v>1.2434507114060757E-2</v>
      </c>
      <c r="G130" s="483">
        <f>GridE!E8</f>
        <v>3.6969998024611734</v>
      </c>
      <c r="H130" s="347">
        <f>GridE!I8</f>
        <v>6.8054364602401593E-2</v>
      </c>
      <c r="I130" s="346" t="str">
        <f t="shared" si="0"/>
        <v>石油</v>
      </c>
      <c r="J130" s="483" t="str">
        <f t="shared" si="0"/>
        <v>MJ/MJ</v>
      </c>
      <c r="K130" s="483">
        <f>GridE!K8</f>
        <v>3.9961801892763792E-2</v>
      </c>
      <c r="L130" s="483">
        <f>GridE!L8</f>
        <v>4.166230410096651E-2</v>
      </c>
      <c r="M130" s="347">
        <f>GridE!M8</f>
        <v>2.7933160883294117E-2</v>
      </c>
    </row>
    <row r="131" spans="2:13">
      <c r="B131" s="346" t="str">
        <f>B119</f>
        <v>LCA-PE</v>
      </c>
      <c r="C131" s="478" t="s">
        <v>682</v>
      </c>
      <c r="D131" s="483" t="str">
        <f>D119</f>
        <v>MJ/MJ</v>
      </c>
      <c r="E131" s="483">
        <f>E128+E129+E130</f>
        <v>3.190496274518996</v>
      </c>
      <c r="F131" s="483">
        <f>F128+F129+F130</f>
        <v>2.6276356413235331</v>
      </c>
      <c r="G131" s="483">
        <f>G128+G129+G130</f>
        <v>4.0542953960915389</v>
      </c>
      <c r="H131" s="347">
        <f>H128+H129+H130</f>
        <v>2.662555729682258</v>
      </c>
      <c r="I131" s="346" t="str">
        <f t="shared" si="0"/>
        <v>一次能源总计</v>
      </c>
      <c r="J131" s="483" t="str">
        <f t="shared" si="0"/>
        <v>MJ/MJ</v>
      </c>
      <c r="K131" s="483">
        <f>K128+K129+K130</f>
        <v>2.9990664980478559</v>
      </c>
      <c r="L131" s="483">
        <f>L128+L129+L130</f>
        <v>3.1266863490286161</v>
      </c>
      <c r="M131" s="347">
        <f>M128+M129+M130</f>
        <v>2.0769725784373478</v>
      </c>
    </row>
    <row r="132" spans="2:13">
      <c r="B132" s="346"/>
      <c r="C132" s="483"/>
      <c r="D132" s="483"/>
      <c r="E132" s="483"/>
      <c r="F132" s="483"/>
      <c r="G132" s="483"/>
      <c r="H132" s="347"/>
      <c r="I132" s="346"/>
      <c r="J132" s="483"/>
      <c r="K132" s="483"/>
      <c r="L132" s="35"/>
      <c r="M132" s="84"/>
    </row>
    <row r="133" spans="2:13">
      <c r="B133" s="346" t="str">
        <f>B121</f>
        <v>LCA-CO2</v>
      </c>
      <c r="C133" s="478" t="s">
        <v>683</v>
      </c>
      <c r="D133" s="483" t="str">
        <f>D121</f>
        <v>g/MJ</v>
      </c>
      <c r="E133" s="483">
        <f>GridE!C10</f>
        <v>259.89865485960553</v>
      </c>
      <c r="F133" s="483">
        <f>GridE!D10</f>
        <v>150.67244954240007</v>
      </c>
      <c r="G133" s="483">
        <f>GridE!E10</f>
        <v>302.37633071656802</v>
      </c>
      <c r="H133" s="347">
        <f>GridE!I10</f>
        <v>0.99442789444789459</v>
      </c>
      <c r="I133" s="346" t="str">
        <f t="shared" si="0"/>
        <v>二氧化碳</v>
      </c>
      <c r="J133" s="483" t="str">
        <f t="shared" si="0"/>
        <v>g/MJ</v>
      </c>
      <c r="K133" s="483">
        <f>GridE!K10</f>
        <v>244.60473556802918</v>
      </c>
      <c r="L133" s="483">
        <f>GridE!L10</f>
        <v>254.8006817624134</v>
      </c>
      <c r="M133" s="347">
        <f>GridE!M10</f>
        <v>170.75912565874359</v>
      </c>
    </row>
    <row r="134" spans="2:13">
      <c r="B134" s="346" t="str">
        <f>B122</f>
        <v>LCA-CH4</v>
      </c>
      <c r="C134" s="478" t="s">
        <v>684</v>
      </c>
      <c r="D134" s="483" t="str">
        <f>D122</f>
        <v>g/MJ</v>
      </c>
      <c r="E134" s="483">
        <f>GridE!C11</f>
        <v>1.2794115889273714</v>
      </c>
      <c r="F134" s="483">
        <f>GridE!D11</f>
        <v>0.19476376206790005</v>
      </c>
      <c r="G134" s="483">
        <f>GridE!E11</f>
        <v>0.13269271006783298</v>
      </c>
      <c r="H134" s="347">
        <f>GridE!I11</f>
        <v>0.99442789444789459</v>
      </c>
      <c r="I134" s="346" t="str">
        <f t="shared" si="0"/>
        <v>甲烷</v>
      </c>
      <c r="J134" s="483" t="str">
        <f t="shared" si="0"/>
        <v>g/MJ</v>
      </c>
      <c r="K134" s="483">
        <f>GridE!K11</f>
        <v>1.2026468935917289</v>
      </c>
      <c r="L134" s="483">
        <f>GridE!L11</f>
        <v>1.253823357148824</v>
      </c>
      <c r="M134" s="347">
        <f>GridE!M11</f>
        <v>0.83161753280279138</v>
      </c>
    </row>
    <row r="135" spans="2:13">
      <c r="B135" s="346" t="str">
        <f>B123</f>
        <v>LCA-N2O</v>
      </c>
      <c r="C135" s="478" t="s">
        <v>685</v>
      </c>
      <c r="D135" s="483" t="str">
        <f>D123</f>
        <v>mg/MJ</v>
      </c>
      <c r="E135" s="483">
        <f>GridE!C12</f>
        <v>4.0328115638645929E-3</v>
      </c>
      <c r="F135" s="483">
        <f>GridE!D12</f>
        <v>3.6612232291609716E-7</v>
      </c>
      <c r="G135" s="483">
        <f>GridE!E12</f>
        <v>1.383543689240821E-3</v>
      </c>
      <c r="H135" s="347">
        <f>GridE!I12</f>
        <v>3.3408694757104565E-3</v>
      </c>
      <c r="I135" s="346" t="str">
        <f t="shared" si="0"/>
        <v>氧化二氮</v>
      </c>
      <c r="J135" s="483" t="str">
        <f t="shared" si="0"/>
        <v>mg/MJ</v>
      </c>
      <c r="K135" s="483">
        <f>GridE!K12</f>
        <v>3.7908428700327173E-3</v>
      </c>
      <c r="L135" s="483">
        <f>GridE!L12</f>
        <v>3.9521553325873012E-3</v>
      </c>
      <c r="M135" s="347">
        <f>GridE!M12</f>
        <v>2.6213275165119856E-3</v>
      </c>
    </row>
    <row r="136" spans="2:13">
      <c r="B136" s="484" t="str">
        <f>B124</f>
        <v>LCA-GHG</v>
      </c>
      <c r="C136" s="480" t="s">
        <v>686</v>
      </c>
      <c r="D136" s="485" t="str">
        <f>D124</f>
        <v>g/MJ</v>
      </c>
      <c r="E136" s="481">
        <f>GridE!C9</f>
        <v>291.88514636063582</v>
      </c>
      <c r="F136" s="481">
        <f>GridE!D9</f>
        <v>155.54154370320205</v>
      </c>
      <c r="G136" s="481">
        <f>GridE!E9</f>
        <v>305.69406076428317</v>
      </c>
      <c r="H136" s="482">
        <f>GridE!I9</f>
        <v>237.06320573794014</v>
      </c>
      <c r="I136" s="484" t="str">
        <f t="shared" si="0"/>
        <v>GHG合计</v>
      </c>
      <c r="J136" s="485" t="str">
        <f t="shared" si="0"/>
        <v>g/MJ</v>
      </c>
      <c r="K136" s="481">
        <f>GridE!K9</f>
        <v>274.67203757899767</v>
      </c>
      <c r="L136" s="481">
        <f>GridE!L9</f>
        <v>286.14744343342312</v>
      </c>
      <c r="M136" s="482">
        <f>GridE!M9</f>
        <v>191.55034513441328</v>
      </c>
    </row>
    <row r="137" spans="2:13">
      <c r="B137" s="107" t="s">
        <v>675</v>
      </c>
      <c r="C137" s="108"/>
      <c r="D137" s="108"/>
      <c r="E137" s="108"/>
      <c r="F137" s="108"/>
      <c r="G137" s="108"/>
      <c r="H137" s="469"/>
    </row>
    <row r="138" spans="2:13">
      <c r="B138" s="346" t="str">
        <f>GridE!B16</f>
        <v>燃料制备</v>
      </c>
      <c r="C138" s="483"/>
      <c r="D138" s="483" t="str">
        <f>D136</f>
        <v>g/MJ</v>
      </c>
      <c r="E138" s="486">
        <f>GridE!C16</f>
        <v>48.648704881558622</v>
      </c>
      <c r="F138" s="486">
        <f>GridE!D16</f>
        <v>20.079167096141564</v>
      </c>
      <c r="G138" s="486">
        <f>GridE!E16</f>
        <v>48.916253382990114</v>
      </c>
      <c r="H138" s="487">
        <f>GridE!I16</f>
        <v>39.401623889676294</v>
      </c>
    </row>
    <row r="139" spans="2:13">
      <c r="B139" s="346" t="str">
        <f>GridE!B17</f>
        <v>燃料运输</v>
      </c>
      <c r="C139" s="483"/>
      <c r="D139" s="483" t="str">
        <f>D138</f>
        <v>g/MJ</v>
      </c>
      <c r="E139" s="486">
        <f>GridE!C17</f>
        <v>3.2784641622763631</v>
      </c>
      <c r="F139" s="486">
        <f>GridE!D17</f>
        <v>2.3597237812242629</v>
      </c>
      <c r="G139" s="486">
        <f>GridE!E17</f>
        <v>3.2038323367298123</v>
      </c>
      <c r="H139" s="487">
        <f>GridE!I17</f>
        <v>2.6667333174663472</v>
      </c>
    </row>
    <row r="140" spans="2:13">
      <c r="B140" s="484" t="str">
        <f>GridE!B18</f>
        <v>燃料燃烧</v>
      </c>
      <c r="C140" s="485"/>
      <c r="D140" s="485" t="str">
        <f>D138</f>
        <v>g/MJ</v>
      </c>
      <c r="E140" s="488">
        <f>GridE!C18</f>
        <v>239.95797731680082</v>
      </c>
      <c r="F140" s="488">
        <f>GridE!D18</f>
        <v>133.10265282583623</v>
      </c>
      <c r="G140" s="488">
        <f>GridE!E18</f>
        <v>253.57397504456324</v>
      </c>
      <c r="H140" s="489">
        <f>GridE!I18</f>
        <v>194.9948485307975</v>
      </c>
    </row>
    <row r="141" spans="2:13">
      <c r="B141" s="483"/>
      <c r="C141" s="483"/>
      <c r="D141" s="483"/>
      <c r="E141" s="486"/>
      <c r="F141" s="486"/>
      <c r="G141" s="486"/>
      <c r="H141" s="486"/>
    </row>
    <row r="142" spans="2:13">
      <c r="B142" s="700" t="s">
        <v>1057</v>
      </c>
      <c r="C142" s="483"/>
      <c r="D142" s="483"/>
      <c r="E142" s="486"/>
      <c r="F142" s="486"/>
      <c r="G142" s="486"/>
      <c r="H142" s="486"/>
    </row>
    <row r="143" spans="2:13">
      <c r="B143" s="344"/>
      <c r="C143" s="698"/>
      <c r="D143" s="698"/>
      <c r="E143" s="698" t="str">
        <f>GridE!A21</f>
        <v>原料开采处理</v>
      </c>
      <c r="F143" s="698" t="str">
        <f>GridE!A32</f>
        <v>原料运输</v>
      </c>
      <c r="G143" s="698" t="str">
        <f>GridE!A43</f>
        <v>燃料制备与燃烧</v>
      </c>
      <c r="I143" s="345" t="str">
        <f>H191</f>
        <v>合计</v>
      </c>
    </row>
    <row r="144" spans="2:13">
      <c r="B144" s="346" t="str">
        <f t="shared" ref="B144:D147" si="1">B192</f>
        <v>LCA-Coal</v>
      </c>
      <c r="C144" s="483" t="str">
        <f t="shared" si="1"/>
        <v>煤炭</v>
      </c>
      <c r="D144" s="483" t="str">
        <f t="shared" si="1"/>
        <v>MJ/MJ</v>
      </c>
      <c r="E144" s="483">
        <f>GridE!C22</f>
        <v>0.19524988164758283</v>
      </c>
      <c r="F144" s="483">
        <f>GridE!C33</f>
        <v>6.8308063502399196E-3</v>
      </c>
      <c r="G144" s="483">
        <f>GridE!C44</f>
        <v>2.9382382323558796</v>
      </c>
      <c r="I144" s="347">
        <f>E144+F144+G144</f>
        <v>3.1403189203537023</v>
      </c>
    </row>
    <row r="145" spans="2:9">
      <c r="B145" s="346" t="str">
        <f t="shared" si="1"/>
        <v>LCA-NG</v>
      </c>
      <c r="C145" s="483" t="str">
        <f t="shared" si="1"/>
        <v>天然气</v>
      </c>
      <c r="D145" s="483" t="str">
        <f t="shared" si="1"/>
        <v>MJ/MJ</v>
      </c>
      <c r="E145" s="483">
        <f>GridE!C23</f>
        <v>5.8067463752929389E-3</v>
      </c>
      <c r="F145" s="483">
        <f>GridE!C34</f>
        <v>1.858052584932248E-3</v>
      </c>
      <c r="G145" s="483">
        <f>GridE!C45</f>
        <v>0</v>
      </c>
      <c r="I145" s="347">
        <f>E145+F145+G145</f>
        <v>7.6647989602251871E-3</v>
      </c>
    </row>
    <row r="146" spans="2:9">
      <c r="B146" s="346" t="str">
        <f t="shared" si="1"/>
        <v>LCA-Oil</v>
      </c>
      <c r="C146" s="483" t="str">
        <f t="shared" si="1"/>
        <v>石油</v>
      </c>
      <c r="D146" s="483" t="str">
        <f t="shared" si="1"/>
        <v>MJ/MJ</v>
      </c>
      <c r="E146" s="483">
        <f>GridE!C24</f>
        <v>7.6238900625170431E-3</v>
      </c>
      <c r="F146" s="483">
        <f>GridE!C35</f>
        <v>3.4888665142550825E-2</v>
      </c>
      <c r="G146" s="483">
        <f>GridE!C46</f>
        <v>0</v>
      </c>
      <c r="I146" s="347">
        <f>E146+F146+G146</f>
        <v>4.2512555205067866E-2</v>
      </c>
    </row>
    <row r="147" spans="2:9">
      <c r="B147" s="346" t="str">
        <f t="shared" si="1"/>
        <v>LCA-PE</v>
      </c>
      <c r="C147" s="483" t="str">
        <f t="shared" si="1"/>
        <v>一次能源总计</v>
      </c>
      <c r="D147" s="483" t="str">
        <f t="shared" si="1"/>
        <v>MJ/MJ</v>
      </c>
      <c r="E147" s="483">
        <f>E144+E145+E146</f>
        <v>0.20868051808539281</v>
      </c>
      <c r="F147" s="483">
        <f t="shared" ref="F147:G147" si="2">F144+F145+F146</f>
        <v>4.3577524077722994E-2</v>
      </c>
      <c r="G147" s="483">
        <f t="shared" si="2"/>
        <v>2.9382382323558796</v>
      </c>
      <c r="I147" s="347">
        <f>E147+F147+G147</f>
        <v>3.1904962745189955</v>
      </c>
    </row>
    <row r="148" spans="2:9">
      <c r="B148" s="346"/>
      <c r="C148" s="483"/>
      <c r="D148" s="483"/>
      <c r="E148" s="483"/>
      <c r="F148" s="483"/>
      <c r="G148" s="483"/>
      <c r="I148" s="347"/>
    </row>
    <row r="149" spans="2:9">
      <c r="B149" s="346" t="str">
        <f t="shared" ref="B149:D152" si="3">B197</f>
        <v>LCA-CO2</v>
      </c>
      <c r="C149" s="483" t="str">
        <f t="shared" si="3"/>
        <v>二氧化碳</v>
      </c>
      <c r="D149" s="483" t="str">
        <f t="shared" si="3"/>
        <v>g/MJ</v>
      </c>
      <c r="E149" s="483">
        <f>GridE!C27</f>
        <v>16.825671248613531</v>
      </c>
      <c r="F149" s="483">
        <f>GridE!C38</f>
        <v>3.1893378449932897</v>
      </c>
      <c r="G149" s="483">
        <f>GridE!C49</f>
        <v>239.88364576599869</v>
      </c>
      <c r="I149" s="347">
        <f>E149+F149+G149</f>
        <v>259.89865485960553</v>
      </c>
    </row>
    <row r="150" spans="2:9">
      <c r="B150" s="346" t="str">
        <f t="shared" si="3"/>
        <v>LCA-CH4</v>
      </c>
      <c r="C150" s="483" t="str">
        <f t="shared" si="3"/>
        <v>甲烷</v>
      </c>
      <c r="D150" s="483" t="str">
        <f t="shared" si="3"/>
        <v>g/MJ</v>
      </c>
      <c r="E150" s="483">
        <f>GridE!C28</f>
        <v>1.2729170009325725</v>
      </c>
      <c r="F150" s="483">
        <f>GridE!C39</f>
        <v>3.5563497624430244E-3</v>
      </c>
      <c r="G150" s="483">
        <f>GridE!C50</f>
        <v>2.9382382323558795E-3</v>
      </c>
      <c r="I150" s="347">
        <f>E150+F150+G150</f>
        <v>1.2794115889273716</v>
      </c>
    </row>
    <row r="151" spans="2:9">
      <c r="B151" s="346" t="str">
        <f t="shared" si="3"/>
        <v>LCA-N2O</v>
      </c>
      <c r="C151" s="483" t="str">
        <f t="shared" si="3"/>
        <v>氧化二氮</v>
      </c>
      <c r="D151" s="483" t="str">
        <f t="shared" si="3"/>
        <v>mg/MJ</v>
      </c>
      <c r="E151" s="483">
        <f>GridE!C29</f>
        <v>3.6446184829526856E-4</v>
      </c>
      <c r="F151" s="483">
        <f>GridE!C40</f>
        <v>7.3011148321344547E-4</v>
      </c>
      <c r="G151" s="483">
        <f>GridE!C51</f>
        <v>2.9382382323558795E-3</v>
      </c>
      <c r="I151" s="347">
        <f>E151+F151+G151</f>
        <v>4.0328115638645938E-3</v>
      </c>
    </row>
    <row r="152" spans="2:9">
      <c r="B152" s="484" t="str">
        <f t="shared" si="3"/>
        <v>LCA-GHG</v>
      </c>
      <c r="C152" s="485" t="str">
        <f t="shared" si="3"/>
        <v>GHG合计</v>
      </c>
      <c r="D152" s="485" t="str">
        <f t="shared" si="3"/>
        <v>g/MJ</v>
      </c>
      <c r="E152" s="103">
        <f>E149+25*E150+0.298*E151</f>
        <v>48.648704881558636</v>
      </c>
      <c r="F152" s="103">
        <f t="shared" ref="F152:G152" si="4">F149+25*F150+0.298*F151</f>
        <v>3.2784641622763626</v>
      </c>
      <c r="G152" s="103">
        <f t="shared" si="4"/>
        <v>239.95797731680082</v>
      </c>
      <c r="I152" s="701">
        <f>I149+25*I150+0.298*I151</f>
        <v>291.88514636063582</v>
      </c>
    </row>
    <row r="153" spans="2:9">
      <c r="E153" s="483"/>
      <c r="F153" s="483"/>
      <c r="G153" s="483"/>
      <c r="H153" s="483"/>
    </row>
    <row r="154" spans="2:9">
      <c r="B154" s="700" t="s">
        <v>1058</v>
      </c>
      <c r="C154" s="483"/>
      <c r="D154" s="483"/>
      <c r="E154" s="486"/>
      <c r="F154" s="486"/>
      <c r="G154" s="486"/>
      <c r="H154" s="486"/>
    </row>
    <row r="155" spans="2:9">
      <c r="B155" s="344"/>
      <c r="C155" s="698"/>
      <c r="D155" s="698"/>
      <c r="E155" s="698" t="str">
        <f>E143</f>
        <v>原料开采处理</v>
      </c>
      <c r="F155" s="698" t="str">
        <f>F143</f>
        <v>原料运输</v>
      </c>
      <c r="G155" s="698" t="str">
        <f>G143</f>
        <v>燃料制备与燃烧</v>
      </c>
      <c r="I155" s="345" t="str">
        <f>I143</f>
        <v>合计</v>
      </c>
    </row>
    <row r="156" spans="2:9">
      <c r="B156" s="346" t="str">
        <f>B144</f>
        <v>LCA-Coal</v>
      </c>
      <c r="C156" s="346" t="str">
        <f t="shared" ref="C156:D156" si="5">C144</f>
        <v>煤炭</v>
      </c>
      <c r="D156" s="346" t="str">
        <f t="shared" si="5"/>
        <v>MJ/MJ</v>
      </c>
      <c r="E156" s="483">
        <f>GridE!D22</f>
        <v>1.0338037129721754E-2</v>
      </c>
      <c r="F156" s="483">
        <f>GridE!D33</f>
        <v>7.6770279132566902E-3</v>
      </c>
      <c r="G156" s="483">
        <f>GridE!D44</f>
        <v>0</v>
      </c>
      <c r="I156" s="347">
        <f>E156+F156+G156</f>
        <v>1.8015065042978444E-2</v>
      </c>
    </row>
    <row r="157" spans="2:9">
      <c r="B157" s="346" t="str">
        <f t="shared" ref="B157:D159" si="6">B145</f>
        <v>LCA-NG</v>
      </c>
      <c r="C157" s="346" t="str">
        <f t="shared" si="6"/>
        <v>天然气</v>
      </c>
      <c r="D157" s="346" t="str">
        <f t="shared" si="6"/>
        <v>MJ/MJ</v>
      </c>
      <c r="E157" s="483">
        <f>GridE!D23</f>
        <v>0.2406142026910297</v>
      </c>
      <c r="F157" s="483">
        <f>GridE!D34</f>
        <v>2.6465730140953984E-2</v>
      </c>
      <c r="G157" s="483">
        <f>GridE!D45</f>
        <v>2.3301061363345097</v>
      </c>
      <c r="I157" s="347">
        <f>E157+F157+G157</f>
        <v>2.5971860691664932</v>
      </c>
    </row>
    <row r="158" spans="2:9">
      <c r="B158" s="346" t="str">
        <f t="shared" si="6"/>
        <v>LCA-Oil</v>
      </c>
      <c r="C158" s="346" t="str">
        <f t="shared" si="6"/>
        <v>石油</v>
      </c>
      <c r="D158" s="346" t="str">
        <f t="shared" si="6"/>
        <v>MJ/MJ</v>
      </c>
      <c r="E158" s="483">
        <f>GridE!D24</f>
        <v>1.1056336996741778E-2</v>
      </c>
      <c r="F158" s="483">
        <f>GridE!D35</f>
        <v>1.3781701173189787E-3</v>
      </c>
      <c r="G158" s="483">
        <f>GridE!D46</f>
        <v>0</v>
      </c>
      <c r="I158" s="347">
        <f>E158+F158+G158</f>
        <v>1.2434507114060757E-2</v>
      </c>
    </row>
    <row r="159" spans="2:9">
      <c r="B159" s="346" t="str">
        <f t="shared" si="6"/>
        <v>LCA-PE</v>
      </c>
      <c r="C159" s="346" t="str">
        <f t="shared" si="6"/>
        <v>一次能源总计</v>
      </c>
      <c r="D159" s="346" t="str">
        <f t="shared" si="6"/>
        <v>MJ/MJ</v>
      </c>
      <c r="E159" s="483">
        <f>E156+E157+E158</f>
        <v>0.26200857681749323</v>
      </c>
      <c r="F159" s="483">
        <f t="shared" ref="F159" si="7">F156+F157+F158</f>
        <v>3.5520928171529652E-2</v>
      </c>
      <c r="G159" s="483">
        <f t="shared" ref="G159" si="8">G156+G157+G158</f>
        <v>2.3301061363345097</v>
      </c>
      <c r="I159" s="347">
        <f>E159+F159+G159</f>
        <v>2.6276356413235327</v>
      </c>
    </row>
    <row r="160" spans="2:9">
      <c r="B160" s="346"/>
      <c r="C160" s="483"/>
      <c r="D160" s="483"/>
      <c r="E160" s="483"/>
      <c r="F160" s="483"/>
      <c r="G160" s="483"/>
      <c r="I160" s="347"/>
    </row>
    <row r="161" spans="2:9">
      <c r="B161" s="346" t="str">
        <f>B149</f>
        <v>LCA-CO2</v>
      </c>
      <c r="C161" s="346" t="str">
        <f t="shared" ref="C161:D161" si="9">C149</f>
        <v>二氧化碳</v>
      </c>
      <c r="D161" s="346" t="str">
        <f t="shared" si="9"/>
        <v>g/MJ</v>
      </c>
      <c r="E161" s="483">
        <f>GridE!D27</f>
        <v>15.336954042712039</v>
      </c>
      <c r="F161" s="483">
        <f>GridE!D38</f>
        <v>2.2328426738518337</v>
      </c>
      <c r="G161" s="483">
        <f>GridE!D49</f>
        <v>133.1026528258362</v>
      </c>
      <c r="I161" s="347">
        <f>E161+F161+G161</f>
        <v>150.67244954240007</v>
      </c>
    </row>
    <row r="162" spans="2:9">
      <c r="B162" s="346" t="str">
        <f t="shared" ref="B162:D164" si="10">B150</f>
        <v>LCA-CH4</v>
      </c>
      <c r="C162" s="346" t="str">
        <f t="shared" si="10"/>
        <v>甲烷</v>
      </c>
      <c r="D162" s="346" t="str">
        <f t="shared" si="10"/>
        <v>g/MJ</v>
      </c>
      <c r="E162" s="483">
        <f>GridE!D28</f>
        <v>0.18968851829591696</v>
      </c>
      <c r="F162" s="483">
        <f>GridE!D39</f>
        <v>5.075243771983139E-3</v>
      </c>
      <c r="G162" s="483">
        <f>GridE!D50</f>
        <v>0</v>
      </c>
      <c r="I162" s="347">
        <f>E162+F162+G162</f>
        <v>0.19476376206790011</v>
      </c>
    </row>
    <row r="163" spans="2:9">
      <c r="B163" s="346" t="str">
        <f t="shared" si="10"/>
        <v>LCA-N2O</v>
      </c>
      <c r="C163" s="346" t="str">
        <f t="shared" si="10"/>
        <v>氧化二氮</v>
      </c>
      <c r="D163" s="346" t="str">
        <f t="shared" si="10"/>
        <v>mg/MJ</v>
      </c>
      <c r="E163" s="483">
        <f>GridE!D29</f>
        <v>3.2225369907591479E-7</v>
      </c>
      <c r="F163" s="483">
        <f>GridE!D40</f>
        <v>4.386862384018234E-8</v>
      </c>
      <c r="G163" s="483">
        <f>GridE!D51</f>
        <v>0</v>
      </c>
      <c r="I163" s="347">
        <f>E163+F163+G163</f>
        <v>3.6612232291609711E-7</v>
      </c>
    </row>
    <row r="164" spans="2:9">
      <c r="B164" s="346" t="str">
        <f t="shared" si="10"/>
        <v>LCA-GHG</v>
      </c>
      <c r="C164" s="346" t="str">
        <f t="shared" si="10"/>
        <v>GHG合计</v>
      </c>
      <c r="D164" s="346" t="str">
        <f t="shared" si="10"/>
        <v>g/MJ</v>
      </c>
      <c r="E164" s="103">
        <f>E161+25*E162+0.298*E163</f>
        <v>20.079167096141564</v>
      </c>
      <c r="F164" s="103">
        <f t="shared" ref="F164" si="11">F161+25*F162+0.298*F163</f>
        <v>2.359723781224262</v>
      </c>
      <c r="G164" s="103">
        <f t="shared" ref="G164" si="12">G161+25*G162+0.298*G163</f>
        <v>133.1026528258362</v>
      </c>
      <c r="I164" s="701">
        <f t="shared" ref="I164" si="13">I161+25*I162+0.298*I163</f>
        <v>155.54154370320205</v>
      </c>
    </row>
    <row r="166" spans="2:9">
      <c r="B166" s="700" t="s">
        <v>1059</v>
      </c>
      <c r="C166" s="483"/>
      <c r="D166" s="483"/>
      <c r="E166" s="486"/>
      <c r="F166" s="486"/>
      <c r="G166" s="486"/>
      <c r="H166" s="486"/>
    </row>
    <row r="167" spans="2:9">
      <c r="B167" s="344"/>
      <c r="C167" s="698"/>
      <c r="D167" s="698"/>
      <c r="E167" s="698" t="str">
        <f>E155</f>
        <v>原料开采处理</v>
      </c>
      <c r="F167" s="698" t="str">
        <f>F155</f>
        <v>原料运输</v>
      </c>
      <c r="G167" s="698" t="str">
        <f>G155</f>
        <v>燃料制备与燃烧</v>
      </c>
      <c r="I167" s="345" t="str">
        <f>I155</f>
        <v>合计</v>
      </c>
    </row>
    <row r="168" spans="2:9">
      <c r="B168" s="346" t="str">
        <f>B156</f>
        <v>LCA-Coal</v>
      </c>
      <c r="C168" s="346" t="str">
        <f t="shared" ref="C168:D168" si="14">C156</f>
        <v>煤炭</v>
      </c>
      <c r="D168" s="346" t="str">
        <f t="shared" si="14"/>
        <v>MJ/MJ</v>
      </c>
      <c r="E168" s="483">
        <f>GridE!E22</f>
        <v>0.11473302941201838</v>
      </c>
      <c r="F168" s="483">
        <f>GridE!E33</f>
        <v>2.3173613739614476E-2</v>
      </c>
      <c r="G168" s="483">
        <f>GridE!E44</f>
        <v>6.2077524967048936E-2</v>
      </c>
      <c r="I168" s="347">
        <f>E168+F168+G168</f>
        <v>0.1999841681186818</v>
      </c>
    </row>
    <row r="169" spans="2:9">
      <c r="B169" s="346" t="str">
        <f t="shared" ref="B169:D169" si="15">B157</f>
        <v>LCA-NG</v>
      </c>
      <c r="C169" s="346" t="str">
        <f t="shared" si="15"/>
        <v>天然气</v>
      </c>
      <c r="D169" s="346" t="str">
        <f t="shared" si="15"/>
        <v>MJ/MJ</v>
      </c>
      <c r="E169" s="483">
        <f>GridE!E23</f>
        <v>0.13664718367550244</v>
      </c>
      <c r="F169" s="483">
        <f>GridE!E34</f>
        <v>2.8885533695288488E-3</v>
      </c>
      <c r="G169" s="483">
        <f>GridE!E45</f>
        <v>1.7775688466652145E-2</v>
      </c>
      <c r="I169" s="347">
        <f>E169+F169+G169</f>
        <v>0.15731142551168342</v>
      </c>
    </row>
    <row r="170" spans="2:9">
      <c r="B170" s="346" t="str">
        <f t="shared" ref="B170:D170" si="16">B158</f>
        <v>LCA-Oil</v>
      </c>
      <c r="C170" s="346" t="str">
        <f t="shared" si="16"/>
        <v>石油</v>
      </c>
      <c r="D170" s="346" t="str">
        <f t="shared" si="16"/>
        <v>MJ/MJ</v>
      </c>
      <c r="E170" s="483">
        <f>GridE!E24</f>
        <v>0.12296045305920826</v>
      </c>
      <c r="F170" s="483">
        <f>GridE!E35</f>
        <v>3.0369868088536194E-2</v>
      </c>
      <c r="G170" s="483">
        <f>GridE!E46</f>
        <v>3.5436694813134295</v>
      </c>
      <c r="I170" s="347">
        <f>E170+F170+G170</f>
        <v>3.6969998024611739</v>
      </c>
    </row>
    <row r="171" spans="2:9">
      <c r="B171" s="346" t="str">
        <f t="shared" ref="B171:D171" si="17">B159</f>
        <v>LCA-PE</v>
      </c>
      <c r="C171" s="346" t="str">
        <f t="shared" si="17"/>
        <v>一次能源总计</v>
      </c>
      <c r="D171" s="346" t="str">
        <f t="shared" si="17"/>
        <v>MJ/MJ</v>
      </c>
      <c r="E171" s="483">
        <f>E168+E169+E170</f>
        <v>0.37434066614672906</v>
      </c>
      <c r="F171" s="483">
        <f t="shared" ref="F171" si="18">F168+F169+F170</f>
        <v>5.6432035197679517E-2</v>
      </c>
      <c r="G171" s="483">
        <f t="shared" ref="G171" si="19">G168+G169+G170</f>
        <v>3.6235226947471304</v>
      </c>
      <c r="I171" s="347">
        <f>E171+F171+G171</f>
        <v>4.0542953960915389</v>
      </c>
    </row>
    <row r="172" spans="2:9">
      <c r="B172" s="346"/>
      <c r="C172" s="483"/>
      <c r="D172" s="483"/>
      <c r="E172" s="483"/>
      <c r="F172" s="483"/>
      <c r="G172" s="483"/>
      <c r="I172" s="347"/>
    </row>
    <row r="173" spans="2:9">
      <c r="B173" s="346" t="str">
        <f>B161</f>
        <v>LCA-CO2</v>
      </c>
      <c r="C173" s="346" t="str">
        <f t="shared" ref="C173:D173" si="20">C161</f>
        <v>二氧化碳</v>
      </c>
      <c r="D173" s="346" t="str">
        <f t="shared" si="20"/>
        <v>g/MJ</v>
      </c>
      <c r="E173" s="483">
        <f>GridE!E27</f>
        <v>24.022163725549166</v>
      </c>
      <c r="F173" s="483">
        <f>GridE!E38</f>
        <v>4.2997435285115753</v>
      </c>
      <c r="G173" s="483">
        <f>GridE!E49</f>
        <v>274.05442346250726</v>
      </c>
      <c r="I173" s="347">
        <f>E173+F173+G173</f>
        <v>302.37633071656802</v>
      </c>
    </row>
    <row r="174" spans="2:9">
      <c r="B174" s="346" t="str">
        <f t="shared" ref="B174:D174" si="21">B162</f>
        <v>LCA-CH4</v>
      </c>
      <c r="C174" s="346" t="str">
        <f t="shared" si="21"/>
        <v>甲烷</v>
      </c>
      <c r="D174" s="346" t="str">
        <f t="shared" si="21"/>
        <v>g/MJ</v>
      </c>
      <c r="E174" s="483">
        <f>GridE!E28</f>
        <v>8.7229968785994705E-2</v>
      </c>
      <c r="F174" s="483">
        <f>GridE!E39</f>
        <v>9.8841745455697256E-3</v>
      </c>
      <c r="G174" s="483">
        <f>GridE!E50</f>
        <v>3.5578566736268566E-2</v>
      </c>
      <c r="I174" s="347">
        <f>E174+F174+G174</f>
        <v>0.13269271006783301</v>
      </c>
    </row>
    <row r="175" spans="2:9">
      <c r="B175" s="346" t="str">
        <f t="shared" ref="B175:D175" si="22">B163</f>
        <v>LCA-N2O</v>
      </c>
      <c r="C175" s="346" t="str">
        <f t="shared" si="22"/>
        <v>氧化二氮</v>
      </c>
      <c r="D175" s="346" t="str">
        <f t="shared" si="22"/>
        <v>mg/MJ</v>
      </c>
      <c r="E175" s="483">
        <f>GridE!E29</f>
        <v>9.7120948394075802E-4</v>
      </c>
      <c r="F175" s="483">
        <f>GridE!E40</f>
        <v>6.9473566914233118E-5</v>
      </c>
      <c r="G175" s="483">
        <f>GridE!E51</f>
        <v>3.4286063838582977E-4</v>
      </c>
      <c r="I175" s="347">
        <f>E175+F175+G175</f>
        <v>1.383543689240821E-3</v>
      </c>
    </row>
    <row r="176" spans="2:9">
      <c r="B176" s="346" t="str">
        <f t="shared" ref="B176:D176" si="23">B164</f>
        <v>LCA-GHG</v>
      </c>
      <c r="C176" s="346" t="str">
        <f t="shared" si="23"/>
        <v>GHG合计</v>
      </c>
      <c r="D176" s="346" t="str">
        <f t="shared" si="23"/>
        <v>g/MJ</v>
      </c>
      <c r="E176" s="103">
        <f>E173+25*E174+0.298*E175</f>
        <v>26.203202365625248</v>
      </c>
      <c r="F176" s="103">
        <f t="shared" ref="F176" si="24">F173+25*F174+0.298*F175</f>
        <v>4.5468685952737591</v>
      </c>
      <c r="G176" s="103">
        <f t="shared" ref="G176" si="25">G173+25*G174+0.298*G175</f>
        <v>274.94398980338423</v>
      </c>
      <c r="I176" s="701">
        <f t="shared" ref="I176" si="26">I173+25*I174+0.298*I175</f>
        <v>305.69406076428328</v>
      </c>
    </row>
    <row r="178" spans="1:9">
      <c r="B178" s="700" t="s">
        <v>1060</v>
      </c>
      <c r="C178" s="483"/>
      <c r="D178" s="483"/>
      <c r="E178" s="486"/>
      <c r="F178" s="486"/>
      <c r="G178" s="486"/>
      <c r="H178" s="486"/>
    </row>
    <row r="179" spans="1:9">
      <c r="B179" s="344"/>
      <c r="C179" s="698"/>
      <c r="D179" s="698"/>
      <c r="E179" s="698" t="str">
        <f>E167</f>
        <v>原料开采处理</v>
      </c>
      <c r="F179" s="698" t="str">
        <f>F167</f>
        <v>原料运输</v>
      </c>
      <c r="G179" s="698" t="str">
        <f>G167</f>
        <v>燃料制备与燃烧</v>
      </c>
      <c r="I179" s="345" t="str">
        <f>I167</f>
        <v>合计</v>
      </c>
    </row>
    <row r="180" spans="1:9">
      <c r="B180" s="346" t="str">
        <f>B168</f>
        <v>LCA-Coal</v>
      </c>
      <c r="C180" s="346" t="str">
        <f t="shared" ref="C180:D180" si="27">C168</f>
        <v>煤炭</v>
      </c>
      <c r="D180" s="346" t="str">
        <f t="shared" si="27"/>
        <v>MJ/MJ</v>
      </c>
      <c r="E180" s="483">
        <f>GridE!I22</f>
        <v>0.15853271598903823</v>
      </c>
      <c r="F180" s="483">
        <f>GridE!I33</f>
        <v>5.9423401292480324E-3</v>
      </c>
      <c r="G180" s="483">
        <f>I180-E180-F180</f>
        <v>2.2428479168063453</v>
      </c>
      <c r="I180" s="347">
        <f>'LC factor'!B12</f>
        <v>2.4073229729246317</v>
      </c>
    </row>
    <row r="181" spans="1:9">
      <c r="B181" s="346" t="str">
        <f t="shared" ref="B181:D181" si="28">B169</f>
        <v>LCA-NG</v>
      </c>
      <c r="C181" s="346" t="str">
        <f t="shared" si="28"/>
        <v>天然气</v>
      </c>
      <c r="D181" s="346" t="str">
        <f t="shared" si="28"/>
        <v>MJ/MJ</v>
      </c>
      <c r="E181" s="483">
        <f>GridE!I23</f>
        <v>8.7951525716058951E-3</v>
      </c>
      <c r="F181" s="483">
        <f>GridE!I34</f>
        <v>1.7255541921689275E-3</v>
      </c>
      <c r="G181" s="483">
        <f>I181-E181-F181</f>
        <v>0.17665768539144974</v>
      </c>
      <c r="I181" s="347">
        <f>'LC factor'!C12</f>
        <v>0.18717839215522458</v>
      </c>
    </row>
    <row r="182" spans="1:9">
      <c r="B182" s="346" t="str">
        <f t="shared" ref="B182:D182" si="29">B170</f>
        <v>LCA-Oil</v>
      </c>
      <c r="C182" s="346" t="str">
        <f t="shared" si="29"/>
        <v>石油</v>
      </c>
      <c r="D182" s="346" t="str">
        <f t="shared" si="29"/>
        <v>MJ/MJ</v>
      </c>
      <c r="E182" s="483">
        <f>GridE!I24</f>
        <v>8.3974184541190915E-3</v>
      </c>
      <c r="F182" s="483">
        <f>GridE!I35</f>
        <v>2.8502125595598091E-2</v>
      </c>
      <c r="G182" s="483">
        <f>I182-E182-F182</f>
        <v>3.1154820552684408E-2</v>
      </c>
      <c r="I182" s="347">
        <f>'LC factor'!D12</f>
        <v>6.8054364602401593E-2</v>
      </c>
    </row>
    <row r="183" spans="1:9">
      <c r="B183" s="346" t="str">
        <f t="shared" ref="B183:D183" si="30">B171</f>
        <v>LCA-PE</v>
      </c>
      <c r="C183" s="346" t="str">
        <f t="shared" si="30"/>
        <v>一次能源总计</v>
      </c>
      <c r="D183" s="346" t="str">
        <f t="shared" si="30"/>
        <v>MJ/MJ</v>
      </c>
      <c r="E183" s="483">
        <f>E180+E181+E182</f>
        <v>0.17572528701476323</v>
      </c>
      <c r="F183" s="483">
        <f t="shared" ref="F183" si="31">F180+F181+F182</f>
        <v>3.6170019917015052E-2</v>
      </c>
      <c r="G183" s="483">
        <f>I183-E183-F183</f>
        <v>2.4506604227504796</v>
      </c>
      <c r="I183" s="347">
        <f>I180+I181+I182</f>
        <v>2.662555729682258</v>
      </c>
    </row>
    <row r="184" spans="1:9">
      <c r="B184" s="346"/>
      <c r="C184" s="483"/>
      <c r="D184" s="483"/>
      <c r="E184" s="483"/>
      <c r="F184" s="483"/>
      <c r="G184" s="483"/>
      <c r="I184" s="347"/>
    </row>
    <row r="185" spans="1:9">
      <c r="B185" s="346" t="str">
        <f>B173</f>
        <v>LCA-CO2</v>
      </c>
      <c r="C185" s="346" t="str">
        <f t="shared" ref="C185:D185" si="32">C173</f>
        <v>二氧化碳</v>
      </c>
      <c r="D185" s="346" t="str">
        <f t="shared" si="32"/>
        <v>g/MJ</v>
      </c>
      <c r="E185" s="483">
        <f>GridE!I27</f>
        <v>14.017120295498307</v>
      </c>
      <c r="F185" s="483">
        <f>GridE!I38</f>
        <v>2.6476848960697961</v>
      </c>
      <c r="G185" s="483">
        <f>GridE!I49</f>
        <v>198.01149845067093</v>
      </c>
      <c r="I185" s="347">
        <f>'LC factor'!L12</f>
        <v>212.201512797639</v>
      </c>
    </row>
    <row r="186" spans="1:9">
      <c r="B186" s="346" t="str">
        <f t="shared" ref="B186:D186" si="33">B174</f>
        <v>LCA-CH4</v>
      </c>
      <c r="C186" s="346" t="str">
        <f t="shared" si="33"/>
        <v>甲烷</v>
      </c>
      <c r="D186" s="346" t="str">
        <f t="shared" si="33"/>
        <v>g/MJ</v>
      </c>
      <c r="E186" s="483">
        <f>I186-F186-G186</f>
        <v>0.98837187341458366</v>
      </c>
      <c r="F186" s="483">
        <f>GridE!I39</f>
        <v>3.0620780079409996E-3</v>
      </c>
      <c r="G186" s="483">
        <f>GridE!I50</f>
        <v>2.9939430253698935E-3</v>
      </c>
      <c r="I186" s="347">
        <f>'LC factor'!M12</f>
        <v>0.99442789444789459</v>
      </c>
    </row>
    <row r="187" spans="1:9">
      <c r="B187" s="346" t="str">
        <f t="shared" ref="B187:D187" si="34">B175</f>
        <v>LCA-N2O</v>
      </c>
      <c r="C187" s="346" t="str">
        <f t="shared" si="34"/>
        <v>氧化二氮</v>
      </c>
      <c r="D187" s="346" t="str">
        <f t="shared" si="34"/>
        <v>mg/MJ</v>
      </c>
      <c r="E187" s="483">
        <f>GridE!I29</f>
        <v>3.0941796697133729E-4</v>
      </c>
      <c r="F187" s="483">
        <f>GridE!I40</f>
        <v>5.8607012933879277E-4</v>
      </c>
      <c r="G187" s="483">
        <f>GridE!I51</f>
        <v>2.3597003156080043E-3</v>
      </c>
      <c r="I187" s="347">
        <f>'LC factor'!N12</f>
        <v>3.3408694757104565E-3</v>
      </c>
    </row>
    <row r="188" spans="1:9">
      <c r="B188" s="346" t="str">
        <f t="shared" ref="B188:D188" si="35">B176</f>
        <v>LCA-GHG</v>
      </c>
      <c r="C188" s="346" t="str">
        <f t="shared" si="35"/>
        <v>GHG合计</v>
      </c>
      <c r="D188" s="346" t="str">
        <f t="shared" si="35"/>
        <v>g/MJ</v>
      </c>
      <c r="E188" s="103">
        <f>E185+25*E186+0.298*E187</f>
        <v>38.726509337417056</v>
      </c>
      <c r="F188" s="103">
        <f t="shared" ref="F188" si="36">F185+25*F186+0.298*F187</f>
        <v>2.7244114951668639</v>
      </c>
      <c r="G188" s="103">
        <f t="shared" ref="G188" si="37">G185+25*G186+0.298*G187</f>
        <v>198.08705021699922</v>
      </c>
      <c r="I188" s="701">
        <f>I185+25*I186+0.298*I187</f>
        <v>237.06320573794014</v>
      </c>
    </row>
    <row r="189" spans="1:9">
      <c r="B189" s="483"/>
      <c r="C189" s="483"/>
      <c r="D189" s="483"/>
      <c r="E189" s="77"/>
      <c r="F189" s="77"/>
      <c r="G189" s="77"/>
      <c r="I189" s="77"/>
    </row>
    <row r="190" spans="1:9">
      <c r="A190" s="535" t="s">
        <v>1034</v>
      </c>
      <c r="B190" t="s">
        <v>1019</v>
      </c>
    </row>
    <row r="191" spans="1:9">
      <c r="B191" s="692"/>
      <c r="C191" s="108"/>
      <c r="D191" s="108"/>
      <c r="E191" s="108" t="str">
        <f>Coal!F2</f>
        <v>原煤开采处理</v>
      </c>
      <c r="F191" s="108" t="str">
        <f>Coal!G2</f>
        <v>煤炭运输</v>
      </c>
      <c r="G191" s="108" t="str">
        <f>Coal!H2</f>
        <v>煤炭使用</v>
      </c>
      <c r="H191" s="693" t="s">
        <v>1036</v>
      </c>
    </row>
    <row r="192" spans="1:9">
      <c r="B192" s="93" t="s">
        <v>1018</v>
      </c>
      <c r="C192" s="35" t="s">
        <v>1019</v>
      </c>
      <c r="D192" s="35" t="s">
        <v>4</v>
      </c>
      <c r="E192" s="483">
        <f>Coal!F5</f>
        <v>6.6451344719938341E-2</v>
      </c>
      <c r="F192" s="483">
        <f>Coal!G5</f>
        <v>2.324796633240654E-3</v>
      </c>
      <c r="G192" s="483">
        <f>Coal!H5</f>
        <v>1</v>
      </c>
      <c r="H192" s="347">
        <f>SUM(E192:G192)</f>
        <v>1.0687761413531791</v>
      </c>
    </row>
    <row r="193" spans="2:10">
      <c r="B193" s="93" t="s">
        <v>1020</v>
      </c>
      <c r="C193" s="35" t="s">
        <v>1021</v>
      </c>
      <c r="D193" s="35" t="s">
        <v>4</v>
      </c>
      <c r="E193" s="483">
        <f>Coal!F6</f>
        <v>1.9762680613671984E-3</v>
      </c>
      <c r="F193" s="483">
        <f>Coal!G6</f>
        <v>6.3236961675584131E-4</v>
      </c>
      <c r="G193" s="483">
        <f>Coal!H6</f>
        <v>0</v>
      </c>
      <c r="H193" s="347">
        <f>SUM(E193:G193)</f>
        <v>2.6086376781230399E-3</v>
      </c>
    </row>
    <row r="194" spans="2:10">
      <c r="B194" s="93" t="s">
        <v>1022</v>
      </c>
      <c r="C194" s="35" t="s">
        <v>1023</v>
      </c>
      <c r="D194" s="35" t="s">
        <v>4</v>
      </c>
      <c r="E194" s="483">
        <f>Coal!F7</f>
        <v>2.5947147438770504E-3</v>
      </c>
      <c r="F194" s="483">
        <f>Coal!G7</f>
        <v>1.1874008294615747E-2</v>
      </c>
      <c r="G194" s="483">
        <f>Coal!H7</f>
        <v>0</v>
      </c>
      <c r="H194" s="347">
        <f>SUM(E194:G194)</f>
        <v>1.4468723038492797E-2</v>
      </c>
    </row>
    <row r="195" spans="2:10">
      <c r="B195" s="93" t="s">
        <v>1024</v>
      </c>
      <c r="C195" s="35" t="s">
        <v>1025</v>
      </c>
      <c r="D195" s="35" t="s">
        <v>4</v>
      </c>
      <c r="E195" s="483">
        <f>Coal!F8</f>
        <v>7.1022327525182588E-2</v>
      </c>
      <c r="F195" s="483">
        <f>Coal!G8</f>
        <v>1.4831174544612243E-2</v>
      </c>
      <c r="G195" s="483">
        <f>Coal!H8</f>
        <v>1</v>
      </c>
      <c r="H195" s="347">
        <f>SUM(E195:G195)</f>
        <v>1.0858535020697948</v>
      </c>
    </row>
    <row r="196" spans="2:10">
      <c r="B196" s="93"/>
      <c r="C196" s="35"/>
      <c r="D196" s="35"/>
      <c r="E196" s="35"/>
      <c r="F196" s="35"/>
      <c r="G196" s="35"/>
      <c r="H196" s="84"/>
    </row>
    <row r="197" spans="2:10">
      <c r="B197" s="93" t="s">
        <v>1026</v>
      </c>
      <c r="C197" s="35" t="s">
        <v>1027</v>
      </c>
      <c r="D197" s="35" t="s">
        <v>9</v>
      </c>
      <c r="E197" s="483">
        <f>Coal!F10</f>
        <v>5.7264489527531293</v>
      </c>
      <c r="F197" s="483">
        <f>Coal!G10</f>
        <v>1.0854592421650162</v>
      </c>
      <c r="G197" s="483">
        <f>Coal!H10</f>
        <v>81.641999999999996</v>
      </c>
      <c r="H197" s="347">
        <f>SUM(E197:G197)</f>
        <v>88.453908194918142</v>
      </c>
    </row>
    <row r="198" spans="2:10">
      <c r="B198" s="93" t="s">
        <v>1028</v>
      </c>
      <c r="C198" s="35" t="s">
        <v>1029</v>
      </c>
      <c r="D198" s="35" t="s">
        <v>9</v>
      </c>
      <c r="E198" s="483">
        <f>Coal!F11</f>
        <v>0.43322457209739174</v>
      </c>
      <c r="F198" s="483">
        <f>Coal!G11</f>
        <v>1.2103680781498586E-3</v>
      </c>
      <c r="G198" s="483">
        <f>Coal!H11</f>
        <v>1E-3</v>
      </c>
      <c r="H198" s="347">
        <f>SUM(E198:G198)</f>
        <v>0.43543494017554157</v>
      </c>
    </row>
    <row r="199" spans="2:10">
      <c r="B199" s="93" t="s">
        <v>1030</v>
      </c>
      <c r="C199" s="35" t="s">
        <v>1031</v>
      </c>
      <c r="D199" s="35" t="s">
        <v>10</v>
      </c>
      <c r="E199" s="483">
        <f>Coal!F12</f>
        <v>1.240409454488117E-4</v>
      </c>
      <c r="F199" s="483">
        <f>Coal!G12</f>
        <v>2.4848614219686406E-4</v>
      </c>
      <c r="G199" s="483">
        <f>Coal!H12</f>
        <v>1E-3</v>
      </c>
      <c r="H199" s="347">
        <f>SUM(E199:G199)</f>
        <v>1.3725270876456758E-3</v>
      </c>
    </row>
    <row r="200" spans="2:10">
      <c r="B200" s="101" t="s">
        <v>1032</v>
      </c>
      <c r="C200" s="102" t="s">
        <v>1033</v>
      </c>
      <c r="D200" s="102" t="s">
        <v>9</v>
      </c>
      <c r="E200" s="485">
        <f>Coal!F13</f>
        <v>16.557100219389664</v>
      </c>
      <c r="F200" s="485">
        <f>Coal!G13</f>
        <v>1.1157924929891374</v>
      </c>
      <c r="G200" s="485">
        <f>Coal!H13</f>
        <v>81.667298000000002</v>
      </c>
      <c r="H200" s="349">
        <f>SUM(E200:G200)</f>
        <v>99.340190712378799</v>
      </c>
    </row>
    <row r="203" spans="2:10">
      <c r="B203" s="535" t="s">
        <v>1037</v>
      </c>
    </row>
    <row r="204" spans="2:10">
      <c r="B204" s="692"/>
      <c r="C204" s="108"/>
      <c r="D204" s="108"/>
      <c r="E204" s="108" t="str">
        <f>CtL!D27</f>
        <v>原煤开采处理</v>
      </c>
      <c r="F204" s="108" t="str">
        <f>CtL!E27</f>
        <v>煤炭运输</v>
      </c>
      <c r="G204" s="108" t="str">
        <f>CtL!F27</f>
        <v>CTL制备</v>
      </c>
      <c r="H204" s="108" t="str">
        <f>CtL!G27</f>
        <v>CTL输配</v>
      </c>
      <c r="I204" s="108" t="str">
        <f>CtL!H27</f>
        <v>CTL燃烧</v>
      </c>
      <c r="J204" s="469" t="str">
        <f>CtL!I27</f>
        <v>合计</v>
      </c>
    </row>
    <row r="205" spans="2:10">
      <c r="B205" s="93" t="s">
        <v>1018</v>
      </c>
      <c r="C205" s="35" t="s">
        <v>1019</v>
      </c>
      <c r="D205" s="35" t="s">
        <v>4</v>
      </c>
      <c r="E205" s="483">
        <f>CtL!N29</f>
        <v>0.13478974588222789</v>
      </c>
      <c r="F205" s="483">
        <f>CtL!O29</f>
        <v>4.7156118321311441E-3</v>
      </c>
      <c r="G205" s="483">
        <f>CtL!P29</f>
        <v>1.028397565922921</v>
      </c>
      <c r="H205" s="483">
        <f>CtL!Q29</f>
        <v>2.7971572740058148E-3</v>
      </c>
      <c r="I205" s="483">
        <f>CtL!R29</f>
        <v>1</v>
      </c>
      <c r="J205" s="347">
        <f>CtL!S29</f>
        <v>2.1707000809112857</v>
      </c>
    </row>
    <row r="206" spans="2:10">
      <c r="B206" s="93" t="s">
        <v>1020</v>
      </c>
      <c r="C206" s="35" t="s">
        <v>1021</v>
      </c>
      <c r="D206" s="35" t="s">
        <v>4</v>
      </c>
      <c r="E206" s="483">
        <f>CtL!N30</f>
        <v>4.0086573252884356E-3</v>
      </c>
      <c r="F206" s="483">
        <f>CtL!O30</f>
        <v>1.2826969913911589E-3</v>
      </c>
      <c r="G206" s="483">
        <f>CtL!P30</f>
        <v>0</v>
      </c>
      <c r="H206" s="483">
        <f>CtL!Q30</f>
        <v>5.4501075267156848E-4</v>
      </c>
      <c r="I206" s="483">
        <f>CtL!R30</f>
        <v>0</v>
      </c>
      <c r="J206" s="347">
        <f>CtL!S30</f>
        <v>5.8363650693511633E-3</v>
      </c>
    </row>
    <row r="207" spans="2:10">
      <c r="B207" s="93" t="s">
        <v>1022</v>
      </c>
      <c r="C207" s="35" t="s">
        <v>1023</v>
      </c>
      <c r="D207" s="35" t="s">
        <v>4</v>
      </c>
      <c r="E207" s="483">
        <f>CtL!N31</f>
        <v>5.2631130707445246E-3</v>
      </c>
      <c r="F207" s="483">
        <f>CtL!O31</f>
        <v>2.4085209522547155E-2</v>
      </c>
      <c r="G207" s="483">
        <f>CtL!P31</f>
        <v>0</v>
      </c>
      <c r="H207" s="483">
        <f>CtL!Q31</f>
        <v>8.9344246406559066E-3</v>
      </c>
      <c r="I207" s="483">
        <f>CtL!R31</f>
        <v>0</v>
      </c>
      <c r="J207" s="347">
        <f>CtL!S31</f>
        <v>3.8282747233947589E-2</v>
      </c>
    </row>
    <row r="208" spans="2:10">
      <c r="B208" s="93" t="s">
        <v>1024</v>
      </c>
      <c r="C208" s="35" t="s">
        <v>1025</v>
      </c>
      <c r="D208" s="35" t="s">
        <v>4</v>
      </c>
      <c r="E208" s="483">
        <f>CtL!N32</f>
        <v>0.14406151627826083</v>
      </c>
      <c r="F208" s="483">
        <f>CtL!O32</f>
        <v>3.0083518346069461E-2</v>
      </c>
      <c r="G208" s="483">
        <f>CtL!P32</f>
        <v>1.028397565922921</v>
      </c>
      <c r="H208" s="483">
        <f>CtL!Q32</f>
        <v>1.227659266733329E-2</v>
      </c>
      <c r="I208" s="483">
        <f>CtL!R32</f>
        <v>1</v>
      </c>
      <c r="J208" s="347">
        <f>CtL!S32</f>
        <v>2.2148191932145846</v>
      </c>
    </row>
    <row r="209" spans="2:11">
      <c r="B209" s="93"/>
      <c r="C209" s="35"/>
      <c r="D209" s="35"/>
      <c r="E209" s="35"/>
      <c r="F209" s="35"/>
      <c r="G209" s="35"/>
      <c r="H209" s="35"/>
      <c r="I209" s="35"/>
      <c r="J209" s="84"/>
    </row>
    <row r="210" spans="2:11">
      <c r="B210" s="93" t="s">
        <v>1026</v>
      </c>
      <c r="C210" s="35" t="s">
        <v>1027</v>
      </c>
      <c r="D210" s="35" t="s">
        <v>9</v>
      </c>
      <c r="E210" s="483">
        <f>CtL!N34</f>
        <v>11.615515117146307</v>
      </c>
      <c r="F210" s="483">
        <f>CtL!O34</f>
        <v>2.2017428847160572</v>
      </c>
      <c r="G210" s="483">
        <f>CtL!P34</f>
        <v>91.302434077079099</v>
      </c>
      <c r="H210" s="483">
        <f>CtL!Q34</f>
        <v>0.92646801250540411</v>
      </c>
      <c r="I210" s="483">
        <f>CtL!R34</f>
        <v>74.3</v>
      </c>
      <c r="J210" s="347">
        <f>CtL!S34</f>
        <v>180.34616009144685</v>
      </c>
    </row>
    <row r="211" spans="2:11">
      <c r="B211" s="93" t="s">
        <v>1028</v>
      </c>
      <c r="C211" s="35" t="s">
        <v>1029</v>
      </c>
      <c r="D211" s="35" t="s">
        <v>9</v>
      </c>
      <c r="E211" s="483">
        <f>CtL!N35</f>
        <v>0.87875166754034839</v>
      </c>
      <c r="F211" s="483">
        <f>CtL!O35</f>
        <v>2.455107663589977E-3</v>
      </c>
      <c r="G211" s="483">
        <f>CtL!P35</f>
        <v>2.0283975659229213E-3</v>
      </c>
      <c r="H211" s="483">
        <f>CtL!Q35</f>
        <v>1.2840088857874684E-3</v>
      </c>
      <c r="I211" s="483">
        <f>CtL!R35</f>
        <v>0</v>
      </c>
      <c r="J211" s="347">
        <f>CtL!S35</f>
        <v>0.8845191816556488</v>
      </c>
    </row>
    <row r="212" spans="2:11">
      <c r="B212" s="93" t="s">
        <v>1030</v>
      </c>
      <c r="C212" s="35" t="s">
        <v>1031</v>
      </c>
      <c r="D212" s="35" t="s">
        <v>10</v>
      </c>
      <c r="E212" s="483">
        <f>CtL!N36</f>
        <v>2.5160435182314749E-4</v>
      </c>
      <c r="F212" s="483">
        <f>CtL!O36</f>
        <v>5.0402868599769594E-4</v>
      </c>
      <c r="G212" s="483">
        <f>CtL!P36</f>
        <v>2.0283975659229213E-3</v>
      </c>
      <c r="H212" s="483">
        <f>CtL!Q36</f>
        <v>6.1746642513664846E-5</v>
      </c>
      <c r="I212" s="483">
        <f>CtL!R36</f>
        <v>0</v>
      </c>
      <c r="J212" s="347">
        <f>CtL!S36</f>
        <v>2.8457772462574297E-3</v>
      </c>
    </row>
    <row r="213" spans="2:11">
      <c r="B213" s="101" t="s">
        <v>1032</v>
      </c>
      <c r="C213" s="102" t="s">
        <v>1033</v>
      </c>
      <c r="D213" s="102" t="s">
        <v>9</v>
      </c>
      <c r="E213" s="485">
        <f>CtL!N37</f>
        <v>33.584381783751851</v>
      </c>
      <c r="F213" s="485">
        <f>CtL!O37</f>
        <v>2.2632707768542342</v>
      </c>
      <c r="G213" s="485">
        <f>CtL!P37</f>
        <v>91.35374847870186</v>
      </c>
      <c r="H213" s="485">
        <f>CtL!Q37</f>
        <v>0.95858663514955988</v>
      </c>
      <c r="I213" s="485">
        <f>CtL!R37</f>
        <v>74.3</v>
      </c>
      <c r="J213" s="349">
        <f>CtL!S37</f>
        <v>202.45998767445752</v>
      </c>
    </row>
    <row r="216" spans="2:11">
      <c r="B216" s="535" t="s">
        <v>1038</v>
      </c>
    </row>
    <row r="217" spans="2:11">
      <c r="B217" s="692"/>
      <c r="C217" s="108"/>
      <c r="D217" s="108"/>
      <c r="E217" s="108" t="str">
        <f>'CtL(CCS)'!D31</f>
        <v>原煤开采处理</v>
      </c>
      <c r="F217" s="108" t="str">
        <f>'CtL(CCS)'!E31</f>
        <v>煤炭运输</v>
      </c>
      <c r="G217" s="107" t="str">
        <f>'CtL(CCS)'!F31</f>
        <v>CTL制备</v>
      </c>
      <c r="H217" s="469" t="str">
        <f>'CtL(CCS)'!G31</f>
        <v>捕获</v>
      </c>
      <c r="I217" s="108" t="str">
        <f>'CtL(CCS)'!H31</f>
        <v>CTL输配</v>
      </c>
      <c r="J217" s="108" t="str">
        <f>'CtL(CCS)'!I31</f>
        <v>CTL燃烧</v>
      </c>
      <c r="K217" s="469" t="str">
        <f>'CtL(CCS)'!J31</f>
        <v>合计</v>
      </c>
    </row>
    <row r="218" spans="2:11">
      <c r="B218" s="93" t="s">
        <v>1018</v>
      </c>
      <c r="C218" s="35" t="s">
        <v>1019</v>
      </c>
      <c r="D218" s="35" t="s">
        <v>4</v>
      </c>
      <c r="E218" s="483">
        <f>'CtL(CCS)'!N38</f>
        <v>0.1545380109766008</v>
      </c>
      <c r="F218" s="483">
        <f>'CtL(CCS)'!O38</f>
        <v>5.4065037982340787E-3</v>
      </c>
      <c r="G218" s="346">
        <f>'CtL(CCS)'!P38</f>
        <v>2.3255813953488373</v>
      </c>
      <c r="H218" s="347">
        <f>'CtL(CCS)'!Q38</f>
        <v>0</v>
      </c>
      <c r="I218" s="483">
        <f>'CtL(CCS)'!R38</f>
        <v>2.7971572740058148E-3</v>
      </c>
      <c r="J218" s="483">
        <f>'CtL(CCS)'!S38</f>
        <v>1</v>
      </c>
      <c r="K218" s="347">
        <f>'CtL(CCS)'!T38</f>
        <v>3.4883230673976784</v>
      </c>
    </row>
    <row r="219" spans="2:11">
      <c r="B219" s="93" t="s">
        <v>1020</v>
      </c>
      <c r="C219" s="35" t="s">
        <v>1021</v>
      </c>
      <c r="D219" s="35" t="s">
        <v>4</v>
      </c>
      <c r="E219" s="483">
        <f>'CtL(CCS)'!N39</f>
        <v>4.595972235737671E-3</v>
      </c>
      <c r="F219" s="483">
        <f>'CtL(CCS)'!O39</f>
        <v>1.4706270157112589E-3</v>
      </c>
      <c r="G219" s="346">
        <f>'CtL(CCS)'!P39</f>
        <v>0</v>
      </c>
      <c r="H219" s="347">
        <f>'CtL(CCS)'!Q39</f>
        <v>0</v>
      </c>
      <c r="I219" s="483">
        <f>'CtL(CCS)'!R39</f>
        <v>5.4501075267156848E-4</v>
      </c>
      <c r="J219" s="483">
        <f>'CtL(CCS)'!S39</f>
        <v>0</v>
      </c>
      <c r="K219" s="347">
        <f>'CtL(CCS)'!T39</f>
        <v>6.6116100041204986E-3</v>
      </c>
    </row>
    <row r="220" spans="2:11">
      <c r="B220" s="93" t="s">
        <v>1022</v>
      </c>
      <c r="C220" s="35" t="s">
        <v>1023</v>
      </c>
      <c r="D220" s="35" t="s">
        <v>4</v>
      </c>
      <c r="E220" s="483">
        <f>'CtL(CCS)'!N40</f>
        <v>6.0342203345977912E-3</v>
      </c>
      <c r="F220" s="483">
        <f>'CtL(CCS)'!O40</f>
        <v>2.7613972778176156E-2</v>
      </c>
      <c r="G220" s="346">
        <f>'CtL(CCS)'!P40</f>
        <v>0</v>
      </c>
      <c r="H220" s="347">
        <f>'CtL(CCS)'!Q40</f>
        <v>0</v>
      </c>
      <c r="I220" s="483">
        <f>'CtL(CCS)'!R40</f>
        <v>8.9344246406559066E-3</v>
      </c>
      <c r="J220" s="483">
        <f>'CtL(CCS)'!S40</f>
        <v>0</v>
      </c>
      <c r="K220" s="347">
        <f>'CtL(CCS)'!T40</f>
        <v>4.2582617753429856E-2</v>
      </c>
    </row>
    <row r="221" spans="2:11">
      <c r="B221" s="93" t="s">
        <v>1024</v>
      </c>
      <c r="C221" s="35" t="s">
        <v>1025</v>
      </c>
      <c r="D221" s="35" t="s">
        <v>4</v>
      </c>
      <c r="E221" s="483">
        <f>'CtL(CCS)'!N41</f>
        <v>0.16516820354693629</v>
      </c>
      <c r="F221" s="483">
        <f>'CtL(CCS)'!O41</f>
        <v>3.4491103592121493E-2</v>
      </c>
      <c r="G221" s="346">
        <f>'CtL(CCS)'!P41</f>
        <v>1.3255813953488373</v>
      </c>
      <c r="H221" s="347">
        <f>'CtL(CCS)'!Q41</f>
        <v>0</v>
      </c>
      <c r="I221" s="483">
        <f>'CtL(CCS)'!R41</f>
        <v>1.227659266733329E-2</v>
      </c>
      <c r="J221" s="483">
        <f>'CtL(CCS)'!S41</f>
        <v>1</v>
      </c>
      <c r="K221" s="347">
        <f>'CtL(CCS)'!T41</f>
        <v>2.5375172951552285</v>
      </c>
    </row>
    <row r="222" spans="2:11">
      <c r="B222" s="93"/>
      <c r="C222" s="35"/>
      <c r="D222" s="35"/>
      <c r="E222" s="483"/>
      <c r="F222" s="483"/>
      <c r="G222" s="346"/>
      <c r="H222" s="347"/>
      <c r="I222" s="483"/>
      <c r="J222" s="483"/>
      <c r="K222" s="347"/>
    </row>
    <row r="223" spans="2:11">
      <c r="B223" s="93" t="s">
        <v>1026</v>
      </c>
      <c r="C223" s="35" t="s">
        <v>1027</v>
      </c>
      <c r="D223" s="35" t="s">
        <v>9</v>
      </c>
      <c r="E223" s="483">
        <f>'CtL(CCS)'!N43</f>
        <v>13.317323145937509</v>
      </c>
      <c r="F223" s="483">
        <f>'CtL(CCS)'!O43</f>
        <v>2.5243238189884099</v>
      </c>
      <c r="G223" s="346">
        <f>'CtL(CCS)'!P43</f>
        <v>115.56511627906978</v>
      </c>
      <c r="H223" s="347">
        <f>'CtL(CCS)'!Q43</f>
        <v>-82.172190669371219</v>
      </c>
      <c r="I223" s="483">
        <f>'CtL(CCS)'!R43</f>
        <v>0.92646801250540411</v>
      </c>
      <c r="J223" s="483">
        <f>'CtL(CCS)'!S43</f>
        <v>74.3</v>
      </c>
      <c r="K223" s="347">
        <f>'CtL(CCS)'!T43</f>
        <v>124.46104058712987</v>
      </c>
    </row>
    <row r="224" spans="2:11">
      <c r="B224" s="93" t="s">
        <v>1028</v>
      </c>
      <c r="C224" s="35" t="s">
        <v>1029</v>
      </c>
      <c r="D224" s="35" t="s">
        <v>9</v>
      </c>
      <c r="E224" s="483">
        <f>'CtL(CCS)'!N44</f>
        <v>1.0074990048776551</v>
      </c>
      <c r="F224" s="483">
        <f>'CtL(CCS)'!O44</f>
        <v>2.8148094840694388E-3</v>
      </c>
      <c r="G224" s="346">
        <f>'CtL(CCS)'!P44</f>
        <v>2.3255813953488376E-3</v>
      </c>
      <c r="H224" s="347">
        <f>'CtL(CCS)'!Q44</f>
        <v>0</v>
      </c>
      <c r="I224" s="483">
        <f>'CtL(CCS)'!R44</f>
        <v>1.2840088857874684E-3</v>
      </c>
      <c r="J224" s="483">
        <f>'CtL(CCS)'!S44</f>
        <v>0</v>
      </c>
      <c r="K224" s="347">
        <f>'CtL(CCS)'!T44</f>
        <v>1.0139234046428609</v>
      </c>
    </row>
    <row r="225" spans="1:11">
      <c r="B225" s="93" t="s">
        <v>1030</v>
      </c>
      <c r="C225" s="35" t="s">
        <v>1031</v>
      </c>
      <c r="D225" s="35" t="s">
        <v>10</v>
      </c>
      <c r="E225" s="483">
        <f>'CtL(CCS)'!N45</f>
        <v>2.8846731499723651E-4</v>
      </c>
      <c r="F225" s="483">
        <f>'CtL(CCS)'!O45</f>
        <v>5.7787474929503274E-4</v>
      </c>
      <c r="G225" s="346">
        <f>'CtL(CCS)'!P45</f>
        <v>2.3255813953488376E-3</v>
      </c>
      <c r="H225" s="347">
        <f>'CtL(CCS)'!Q45</f>
        <v>0</v>
      </c>
      <c r="I225" s="483">
        <f>'CtL(CCS)'!R45</f>
        <v>6.1746642513664846E-5</v>
      </c>
      <c r="J225" s="483">
        <f>'CtL(CCS)'!S45</f>
        <v>0</v>
      </c>
      <c r="K225" s="347">
        <f>'CtL(CCS)'!T45</f>
        <v>3.2536701021547714E-3</v>
      </c>
    </row>
    <row r="226" spans="1:11">
      <c r="B226" s="101" t="s">
        <v>1032</v>
      </c>
      <c r="C226" s="102" t="s">
        <v>1033</v>
      </c>
      <c r="D226" s="102" t="s">
        <v>9</v>
      </c>
      <c r="E226" s="485">
        <f>'CtL(CCS)'!N46</f>
        <v>38.50488423113876</v>
      </c>
      <c r="F226" s="485">
        <f>'CtL(CCS)'!O46</f>
        <v>2.5948662627654357</v>
      </c>
      <c r="G226" s="484">
        <f>'CtL(CCS)'!P46</f>
        <v>115.62394883720933</v>
      </c>
      <c r="H226" s="349">
        <f>'CtL(CCS)'!Q46</f>
        <v>-82.172190669371219</v>
      </c>
      <c r="I226" s="485">
        <f>'CtL(CCS)'!R46</f>
        <v>0.95858663514955988</v>
      </c>
      <c r="J226" s="485">
        <f>'CtL(CCS)'!S46</f>
        <v>74.3</v>
      </c>
      <c r="K226" s="349">
        <f>'CtL(CCS)'!T46</f>
        <v>149.81009529689186</v>
      </c>
    </row>
    <row r="229" spans="1:11">
      <c r="A229" s="535" t="s">
        <v>1039</v>
      </c>
    </row>
    <row r="230" spans="1:11">
      <c r="B230" s="535" t="s">
        <v>1045</v>
      </c>
    </row>
    <row r="231" spans="1:11">
      <c r="B231" s="692"/>
      <c r="C231" s="107"/>
      <c r="D231" s="108"/>
      <c r="E231" s="696" t="s">
        <v>1047</v>
      </c>
      <c r="F231" s="696" t="s">
        <v>1048</v>
      </c>
      <c r="G231" s="696" t="s">
        <v>1049</v>
      </c>
      <c r="H231" s="696" t="s">
        <v>1050</v>
      </c>
      <c r="I231" s="696" t="s">
        <v>1051</v>
      </c>
      <c r="J231" s="693" t="s">
        <v>1053</v>
      </c>
    </row>
    <row r="232" spans="1:11">
      <c r="B232" s="93" t="s">
        <v>1018</v>
      </c>
      <c r="C232" s="93" t="s">
        <v>1019</v>
      </c>
      <c r="D232" s="35" t="s">
        <v>4</v>
      </c>
      <c r="E232" s="417">
        <v>0.10017189421988038</v>
      </c>
      <c r="F232" s="417">
        <v>1.8057152462377978E-3</v>
      </c>
      <c r="G232" s="417">
        <v>0.63394919466237187</v>
      </c>
      <c r="H232" s="417">
        <v>1.039857656784698E-3</v>
      </c>
      <c r="I232" s="417">
        <v>0</v>
      </c>
      <c r="J232" s="697">
        <f>SUM(E232:I232)</f>
        <v>0.73696666178527481</v>
      </c>
    </row>
    <row r="233" spans="1:11">
      <c r="B233" s="93" t="s">
        <v>1020</v>
      </c>
      <c r="C233" s="93" t="s">
        <v>1021</v>
      </c>
      <c r="D233" s="35" t="s">
        <v>4</v>
      </c>
      <c r="E233" s="417">
        <v>3.5258038509363945E-2</v>
      </c>
      <c r="F233" s="417">
        <v>1.2775100667965901E-3</v>
      </c>
      <c r="G233" s="417">
        <v>1.5668893039887642E-3</v>
      </c>
      <c r="H233" s="417">
        <v>7.3206589501277142E-4</v>
      </c>
      <c r="I233" s="417">
        <v>0</v>
      </c>
      <c r="J233" s="697">
        <f t="shared" ref="J233:J234" si="38">SUM(E233:I233)</f>
        <v>3.8834503775162073E-2</v>
      </c>
    </row>
    <row r="234" spans="1:11">
      <c r="B234" s="93" t="s">
        <v>1022</v>
      </c>
      <c r="C234" s="93" t="s">
        <v>1023</v>
      </c>
      <c r="D234" s="35" t="s">
        <v>4</v>
      </c>
      <c r="E234" s="417">
        <v>6.705477550894294E-2</v>
      </c>
      <c r="F234" s="417">
        <v>2.9674466371429259E-2</v>
      </c>
      <c r="G234" s="417">
        <v>8.7083924944593993E-3</v>
      </c>
      <c r="H234" s="417">
        <v>1.6969943913557946E-2</v>
      </c>
      <c r="I234" s="417">
        <v>0</v>
      </c>
      <c r="J234" s="697">
        <f t="shared" si="38"/>
        <v>0.12240757828838955</v>
      </c>
    </row>
    <row r="235" spans="1:11">
      <c r="B235" s="93" t="s">
        <v>1024</v>
      </c>
      <c r="C235" s="93" t="s">
        <v>1025</v>
      </c>
      <c r="D235" s="35" t="s">
        <v>4</v>
      </c>
      <c r="E235" s="417">
        <f>E232+E233+E234</f>
        <v>0.20248470823818726</v>
      </c>
      <c r="F235" s="417">
        <f t="shared" ref="F235:I235" si="39">F232+F233+F234</f>
        <v>3.2757691684463644E-2</v>
      </c>
      <c r="G235" s="417">
        <f t="shared" si="39"/>
        <v>0.64422447646082004</v>
      </c>
      <c r="H235" s="417">
        <f t="shared" si="39"/>
        <v>1.8741867465355416E-2</v>
      </c>
      <c r="I235" s="417">
        <f t="shared" si="39"/>
        <v>0</v>
      </c>
      <c r="J235" s="697">
        <f t="shared" ref="J235" si="40">SUM(E235:I235)</f>
        <v>0.89820874384882643</v>
      </c>
    </row>
    <row r="236" spans="1:11">
      <c r="B236" s="93"/>
      <c r="C236" s="93"/>
      <c r="D236" s="35"/>
      <c r="E236" s="35"/>
      <c r="F236" s="35"/>
      <c r="G236" s="35"/>
      <c r="H236" s="35"/>
      <c r="I236" s="35"/>
      <c r="J236" s="84"/>
    </row>
    <row r="237" spans="1:11">
      <c r="B237" s="93" t="s">
        <v>1026</v>
      </c>
      <c r="C237" s="93" t="s">
        <v>1027</v>
      </c>
      <c r="D237" s="35" t="s">
        <v>9</v>
      </c>
      <c r="E237" s="417">
        <v>15.050942868398248</v>
      </c>
      <c r="F237" s="417">
        <v>2.3715155777227133</v>
      </c>
      <c r="G237" s="417">
        <v>52.477077263041572</v>
      </c>
      <c r="H237" s="417">
        <v>1.3347828159350266</v>
      </c>
      <c r="I237" s="35">
        <v>0</v>
      </c>
      <c r="J237" s="697">
        <f>SUM(E237:I237)</f>
        <v>71.234318525097564</v>
      </c>
    </row>
    <row r="238" spans="1:11">
      <c r="B238" s="93" t="s">
        <v>1028</v>
      </c>
      <c r="C238" s="93" t="s">
        <v>1029</v>
      </c>
      <c r="D238" s="35" t="s">
        <v>9</v>
      </c>
      <c r="E238" s="417">
        <v>4.4457480998957216E-2</v>
      </c>
      <c r="F238" s="417">
        <v>1.2099929997236507E-3</v>
      </c>
      <c r="G238" s="417">
        <v>0.25828351232021174</v>
      </c>
      <c r="H238" s="417">
        <v>1.0540902852612542E-3</v>
      </c>
      <c r="I238" s="35">
        <v>0</v>
      </c>
      <c r="J238" s="697">
        <f t="shared" ref="J238:J239" si="41">SUM(E238:I238)</f>
        <v>0.30500507660415388</v>
      </c>
    </row>
    <row r="239" spans="1:11">
      <c r="B239" s="93" t="s">
        <v>1030</v>
      </c>
      <c r="C239" s="93" t="s">
        <v>1031</v>
      </c>
      <c r="D239" s="35" t="s">
        <v>10</v>
      </c>
      <c r="E239" s="417">
        <v>29.819803610870494</v>
      </c>
      <c r="F239" s="417">
        <v>7.3501404505085376E-4</v>
      </c>
      <c r="G239" s="417">
        <v>8.1697982189925234E-4</v>
      </c>
      <c r="H239" s="417">
        <v>2.9674699089189498E-4</v>
      </c>
      <c r="I239" s="35">
        <v>0</v>
      </c>
      <c r="J239" s="697">
        <f t="shared" si="41"/>
        <v>29.821652351728336</v>
      </c>
    </row>
    <row r="240" spans="1:11">
      <c r="B240" s="101" t="s">
        <v>1032</v>
      </c>
      <c r="C240" s="101" t="s">
        <v>1033</v>
      </c>
      <c r="D240" s="102" t="s">
        <v>9</v>
      </c>
      <c r="E240" s="103">
        <f>E237+25*E238+0.298*E239</f>
        <v>25.048681369411586</v>
      </c>
      <c r="F240" s="103">
        <f t="shared" ref="F240:I240" si="42">F237+25*F238+0.298*F239</f>
        <v>2.4019844369012295</v>
      </c>
      <c r="G240" s="103">
        <f t="shared" si="42"/>
        <v>58.934408531033789</v>
      </c>
      <c r="H240" s="103">
        <f t="shared" si="42"/>
        <v>1.3612235036698437</v>
      </c>
      <c r="I240" s="103">
        <f t="shared" si="42"/>
        <v>0</v>
      </c>
      <c r="J240" s="103">
        <f>J237+25*J238+0.298*J239</f>
        <v>87.746297841016457</v>
      </c>
    </row>
    <row r="243" spans="2:10">
      <c r="B243" s="535" t="s">
        <v>1046</v>
      </c>
    </row>
    <row r="244" spans="2:10">
      <c r="B244" s="692"/>
      <c r="C244" s="108"/>
      <c r="D244" s="108"/>
      <c r="E244" s="696" t="s">
        <v>1047</v>
      </c>
      <c r="F244" s="696" t="s">
        <v>1048</v>
      </c>
      <c r="G244" s="696" t="s">
        <v>1049</v>
      </c>
      <c r="H244" s="696" t="s">
        <v>1050</v>
      </c>
      <c r="I244" s="696" t="s">
        <v>1051</v>
      </c>
      <c r="J244" s="693" t="s">
        <v>1052</v>
      </c>
    </row>
    <row r="245" spans="2:10">
      <c r="B245" s="93" t="s">
        <v>1018</v>
      </c>
      <c r="C245" s="35" t="s">
        <v>1019</v>
      </c>
      <c r="D245" s="35" t="s">
        <v>4</v>
      </c>
      <c r="E245" s="417">
        <v>7.5656347783960923E-2</v>
      </c>
      <c r="F245" s="417">
        <v>5.3319783289103334E-2</v>
      </c>
      <c r="G245" s="417">
        <v>0.20336599689357782</v>
      </c>
      <c r="H245" s="417">
        <v>2.8443998440144378E-3</v>
      </c>
      <c r="I245" s="417">
        <v>0</v>
      </c>
      <c r="J245" s="697">
        <f>SUM(E245:I245)</f>
        <v>0.3351865278106565</v>
      </c>
    </row>
    <row r="246" spans="2:10">
      <c r="B246" s="93" t="s">
        <v>1020</v>
      </c>
      <c r="C246" s="35" t="s">
        <v>1021</v>
      </c>
      <c r="D246" s="35" t="s">
        <v>4</v>
      </c>
      <c r="E246" s="417">
        <v>4.7440059282588945E-2</v>
      </c>
      <c r="F246" s="417">
        <v>2.9391675866127401E-3</v>
      </c>
      <c r="G246" s="417">
        <v>0.20012234036909471</v>
      </c>
      <c r="H246" s="417">
        <v>1.5781623481347806E-4</v>
      </c>
      <c r="I246" s="417">
        <v>0</v>
      </c>
      <c r="J246" s="697">
        <f t="shared" ref="J246:J248" si="43">SUM(E246:I246)</f>
        <v>0.2506593834731099</v>
      </c>
    </row>
    <row r="247" spans="2:10">
      <c r="B247" s="93" t="s">
        <v>1022</v>
      </c>
      <c r="C247" s="35" t="s">
        <v>1023</v>
      </c>
      <c r="D247" s="35" t="s">
        <v>4</v>
      </c>
      <c r="E247" s="417">
        <v>1.5195699317116626E-2</v>
      </c>
      <c r="F247" s="417">
        <v>2.0794065884547201E-3</v>
      </c>
      <c r="G247" s="417">
        <v>4.9462883974564237E-4</v>
      </c>
      <c r="H247" s="417">
        <v>1.1110355579195904E-4</v>
      </c>
      <c r="I247" s="417">
        <v>0</v>
      </c>
      <c r="J247" s="697">
        <f t="shared" si="43"/>
        <v>1.7880838301108946E-2</v>
      </c>
    </row>
    <row r="248" spans="2:10">
      <c r="B248" s="93" t="s">
        <v>1024</v>
      </c>
      <c r="C248" s="35" t="s">
        <v>1025</v>
      </c>
      <c r="D248" s="35" t="s">
        <v>4</v>
      </c>
      <c r="E248" s="417">
        <f>E245+E246+E247</f>
        <v>0.13829210638366649</v>
      </c>
      <c r="F248" s="417">
        <f t="shared" ref="F248:I248" si="44">F245+F246+F247</f>
        <v>5.8338357464170792E-2</v>
      </c>
      <c r="G248" s="417">
        <f t="shared" si="44"/>
        <v>0.40398296610241818</v>
      </c>
      <c r="H248" s="417">
        <f t="shared" si="44"/>
        <v>3.1133196346198747E-3</v>
      </c>
      <c r="I248" s="417">
        <f t="shared" si="44"/>
        <v>0</v>
      </c>
      <c r="J248" s="697">
        <f t="shared" si="43"/>
        <v>0.60372674958487538</v>
      </c>
    </row>
    <row r="249" spans="2:10">
      <c r="B249" s="93"/>
      <c r="C249" s="35"/>
      <c r="D249" s="35"/>
      <c r="E249" s="35"/>
      <c r="F249" s="35"/>
      <c r="G249" s="35"/>
      <c r="H249" s="35"/>
      <c r="I249" s="35"/>
      <c r="J249" s="84"/>
    </row>
    <row r="250" spans="2:10">
      <c r="B250" s="93" t="s">
        <v>1026</v>
      </c>
      <c r="C250" s="35" t="s">
        <v>1027</v>
      </c>
      <c r="D250" s="35" t="s">
        <v>9</v>
      </c>
      <c r="E250" s="417">
        <v>5.6829316773093446</v>
      </c>
      <c r="F250" s="417">
        <v>3.8601223153608215</v>
      </c>
      <c r="G250" s="417">
        <v>16.565736822495289</v>
      </c>
      <c r="H250" s="417">
        <v>0.60772855860659214</v>
      </c>
      <c r="I250" s="417">
        <v>0</v>
      </c>
      <c r="J250" s="697">
        <f>SUM(E250:I250)</f>
        <v>26.716519373772048</v>
      </c>
    </row>
    <row r="251" spans="2:10">
      <c r="B251" s="93" t="s">
        <v>1028</v>
      </c>
      <c r="C251" s="35" t="s">
        <v>1029</v>
      </c>
      <c r="D251" s="35" t="s">
        <v>9</v>
      </c>
      <c r="E251" s="417">
        <v>2.0587473597251646E-2</v>
      </c>
      <c r="F251" s="417">
        <v>1.9695088759015367E-3</v>
      </c>
      <c r="G251" s="417">
        <v>8.1533822267569556E-2</v>
      </c>
      <c r="H251" s="417">
        <v>4.7992884089857524E-4</v>
      </c>
      <c r="I251" s="417">
        <v>0</v>
      </c>
      <c r="J251" s="697">
        <f t="shared" ref="J251:J252" si="45">SUM(E251:I251)</f>
        <v>0.10457073358162132</v>
      </c>
    </row>
    <row r="252" spans="2:10">
      <c r="B252" s="93" t="s">
        <v>1030</v>
      </c>
      <c r="C252" s="35" t="s">
        <v>1031</v>
      </c>
      <c r="D252" s="35" t="s">
        <v>10</v>
      </c>
      <c r="E252" s="417">
        <v>18.891104018687166</v>
      </c>
      <c r="F252" s="417">
        <v>1.1963843476537207E-3</v>
      </c>
      <c r="G252" s="417">
        <v>2.5790065729143968E-4</v>
      </c>
      <c r="H252" s="417">
        <v>1.3510933680940747E-4</v>
      </c>
      <c r="I252" s="417">
        <v>0</v>
      </c>
      <c r="J252" s="697">
        <f t="shared" si="45"/>
        <v>18.892693413028923</v>
      </c>
    </row>
    <row r="253" spans="2:10">
      <c r="B253" s="101" t="s">
        <v>1032</v>
      </c>
      <c r="C253" s="102" t="s">
        <v>1033</v>
      </c>
      <c r="D253" s="102" t="s">
        <v>9</v>
      </c>
      <c r="E253" s="103">
        <f>E250+25*E251+0.298*E252</f>
        <v>11.82716751480941</v>
      </c>
      <c r="F253" s="103">
        <f t="shared" ref="F253" si="46">F250+25*F251+0.298*F252</f>
        <v>3.9097165597939605</v>
      </c>
      <c r="G253" s="103">
        <f t="shared" ref="G253" si="47">G250+25*G251+0.298*G252</f>
        <v>18.6041592335804</v>
      </c>
      <c r="H253" s="103">
        <f t="shared" ref="H253" si="48">H250+25*H251+0.298*H252</f>
        <v>0.61976704221142576</v>
      </c>
      <c r="I253" s="103">
        <f t="shared" ref="I253" si="49">I250+25*I251+0.298*I252</f>
        <v>0</v>
      </c>
      <c r="J253" s="103">
        <f t="shared" ref="J253" si="50">J250+25*J251+0.298*J252</f>
        <v>34.960810350395199</v>
      </c>
    </row>
  </sheetData>
  <phoneticPr fontId="40" type="noConversion"/>
  <hyperlinks>
    <hyperlink ref="A1" location="'Key Output'!A7" display="天然气路线"/>
    <hyperlink ref="A2" location="'Key Output'!A86" display="石油基路线"/>
    <hyperlink ref="A3" location="'Key Output'!A127" display="电力路线"/>
    <hyperlink ref="A4" location="'Key Output'!A190" display="煤基路线"/>
    <hyperlink ref="A5" location="'Key Output'!A229" display="生物燃料路线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G48"/>
  <sheetViews>
    <sheetView zoomScale="90" zoomScaleNormal="90" workbookViewId="0">
      <selection activeCell="J7" sqref="J7"/>
    </sheetView>
  </sheetViews>
  <sheetFormatPr defaultRowHeight="13.5"/>
  <cols>
    <col min="4" max="4" width="12.625" customWidth="1"/>
    <col min="10" max="10" width="12.875" bestFit="1" customWidth="1"/>
    <col min="11" max="11" width="11.625" bestFit="1" customWidth="1"/>
    <col min="16" max="16" width="9.5" bestFit="1" customWidth="1"/>
    <col min="17" max="18" width="12.75" bestFit="1" customWidth="1"/>
    <col min="19" max="19" width="9" bestFit="1" customWidth="1"/>
    <col min="20" max="20" width="9" customWidth="1"/>
    <col min="21" max="21" width="9.5" bestFit="1" customWidth="1"/>
    <col min="22" max="22" width="9.5" customWidth="1"/>
    <col min="28" max="29" width="12.75" bestFit="1" customWidth="1"/>
    <col min="30" max="30" width="12.75" customWidth="1"/>
    <col min="31" max="31" width="9.5" bestFit="1" customWidth="1"/>
    <col min="32" max="40" width="9.5" customWidth="1"/>
    <col min="43" max="43" width="9.5" bestFit="1" customWidth="1"/>
    <col min="44" max="44" width="9.5" customWidth="1"/>
    <col min="45" max="45" width="12.75" bestFit="1" customWidth="1"/>
    <col min="48" max="48" width="9.5" bestFit="1" customWidth="1"/>
    <col min="49" max="49" width="10.5" bestFit="1" customWidth="1"/>
    <col min="59" max="59" width="9.5" bestFit="1" customWidth="1"/>
  </cols>
  <sheetData>
    <row r="1" spans="1:59" ht="14.25" thickBot="1">
      <c r="A1" s="36" t="s">
        <v>457</v>
      </c>
      <c r="B1" s="37" t="s">
        <v>439</v>
      </c>
      <c r="C1" s="37">
        <f>47.7</f>
        <v>47.7</v>
      </c>
      <c r="D1" s="37" t="s">
        <v>458</v>
      </c>
      <c r="E1" s="37"/>
      <c r="F1" s="37"/>
      <c r="G1" s="38"/>
      <c r="J1" s="368" t="s">
        <v>478</v>
      </c>
      <c r="O1" s="368" t="s">
        <v>498</v>
      </c>
      <c r="W1" s="453" t="s">
        <v>599</v>
      </c>
      <c r="X1" t="str">
        <f>'fuel summary'!$C$34</f>
        <v>进口LNG</v>
      </c>
      <c r="AF1" s="453" t="s">
        <v>600</v>
      </c>
      <c r="AG1" t="str">
        <f>'fuel summary'!$C$47</f>
        <v>国产气田产LNG</v>
      </c>
      <c r="AO1" s="453" t="s">
        <v>612</v>
      </c>
      <c r="AP1" t="str">
        <f>'fuel summary'!$C$60</f>
        <v>管输气产LNG</v>
      </c>
      <c r="AY1" s="368" t="s">
        <v>507</v>
      </c>
    </row>
    <row r="2" spans="1:59">
      <c r="A2" s="39"/>
      <c r="B2" s="35" t="s">
        <v>448</v>
      </c>
      <c r="C2" s="35">
        <v>40.99</v>
      </c>
      <c r="D2" s="35" t="s">
        <v>459</v>
      </c>
      <c r="E2" s="35"/>
      <c r="F2" s="35"/>
      <c r="G2" s="40"/>
      <c r="H2" s="36"/>
      <c r="I2" s="37"/>
      <c r="J2" s="369" t="s">
        <v>460</v>
      </c>
      <c r="K2" s="370" t="s">
        <v>461</v>
      </c>
      <c r="L2" s="363" t="s">
        <v>510</v>
      </c>
      <c r="N2" s="36"/>
      <c r="O2" s="37"/>
      <c r="P2" s="369" t="s">
        <v>460</v>
      </c>
      <c r="Q2" s="369" t="s">
        <v>461</v>
      </c>
      <c r="R2" s="369" t="s">
        <v>462</v>
      </c>
      <c r="S2" s="370" t="s">
        <v>511</v>
      </c>
      <c r="T2" s="363" t="s">
        <v>510</v>
      </c>
      <c r="W2" s="36"/>
      <c r="X2" s="37"/>
      <c r="Y2" s="369" t="s">
        <v>460</v>
      </c>
      <c r="Z2" s="369" t="s">
        <v>499</v>
      </c>
      <c r="AA2" s="369"/>
      <c r="AB2" s="369" t="s">
        <v>500</v>
      </c>
      <c r="AC2" s="370" t="s">
        <v>501</v>
      </c>
      <c r="AD2" s="363" t="s">
        <v>510</v>
      </c>
      <c r="AF2" s="36"/>
      <c r="AG2" s="37"/>
      <c r="AH2" s="413" t="s">
        <v>460</v>
      </c>
      <c r="AI2" s="413" t="s">
        <v>499</v>
      </c>
      <c r="AJ2" s="413"/>
      <c r="AK2" s="416" t="s">
        <v>501</v>
      </c>
      <c r="AL2" s="405" t="s">
        <v>510</v>
      </c>
      <c r="AO2" s="36"/>
      <c r="AP2" s="37"/>
      <c r="AQ2" s="413" t="s">
        <v>460</v>
      </c>
      <c r="AR2" s="458" t="s">
        <v>611</v>
      </c>
      <c r="AS2" s="413" t="s">
        <v>499</v>
      </c>
      <c r="AT2" s="413"/>
      <c r="AU2" s="416" t="s">
        <v>501</v>
      </c>
      <c r="AV2" s="405" t="s">
        <v>510</v>
      </c>
      <c r="AY2" s="36"/>
      <c r="AZ2" s="37"/>
      <c r="BA2" s="369" t="str">
        <f>J2</f>
        <v>NG开采处理阶段</v>
      </c>
      <c r="BB2" s="369" t="str">
        <f>Q2</f>
        <v>NG运输阶段</v>
      </c>
      <c r="BC2" s="369" t="s">
        <v>508</v>
      </c>
      <c r="BD2" s="369"/>
      <c r="BE2" s="370" t="s">
        <v>509</v>
      </c>
      <c r="BF2" s="363" t="s">
        <v>510</v>
      </c>
    </row>
    <row r="3" spans="1:59" ht="14.25" thickBot="1">
      <c r="A3" s="39"/>
      <c r="B3" s="35"/>
      <c r="C3" s="35"/>
      <c r="D3" s="35"/>
      <c r="E3" s="35"/>
      <c r="F3" s="35"/>
      <c r="G3" s="40"/>
      <c r="H3" s="39"/>
      <c r="I3" s="365" t="s">
        <v>482</v>
      </c>
      <c r="J3" s="35">
        <v>1</v>
      </c>
      <c r="K3" s="40">
        <v>1</v>
      </c>
      <c r="N3" s="39"/>
      <c r="O3" s="35"/>
      <c r="P3" s="360">
        <v>1</v>
      </c>
      <c r="Q3" s="360">
        <v>1</v>
      </c>
      <c r="R3" s="530">
        <f>1-D15</f>
        <v>0.999</v>
      </c>
      <c r="S3" s="527">
        <v>1</v>
      </c>
      <c r="W3" s="39"/>
      <c r="X3" s="35"/>
      <c r="Y3" s="35">
        <v>1</v>
      </c>
      <c r="Z3" s="35">
        <v>1</v>
      </c>
      <c r="AA3" s="35"/>
      <c r="AB3" s="378">
        <v>1</v>
      </c>
      <c r="AC3" s="40">
        <v>1</v>
      </c>
      <c r="AF3" s="39"/>
      <c r="AG3" s="35"/>
      <c r="AH3" s="35">
        <v>1</v>
      </c>
      <c r="AI3" s="35">
        <v>1</v>
      </c>
      <c r="AJ3" s="35"/>
      <c r="AK3" s="40">
        <v>1</v>
      </c>
      <c r="AO3" s="39"/>
      <c r="AP3" s="35"/>
      <c r="AQ3" s="35">
        <v>1</v>
      </c>
      <c r="AR3" s="35">
        <v>1</v>
      </c>
      <c r="AS3" s="35">
        <v>1</v>
      </c>
      <c r="AT3" s="35"/>
      <c r="AU3" s="40">
        <v>1</v>
      </c>
      <c r="AY3" s="39"/>
      <c r="AZ3" s="35"/>
      <c r="BA3" s="35">
        <v>1</v>
      </c>
      <c r="BB3" s="35">
        <v>1</v>
      </c>
      <c r="BC3" s="35">
        <v>0.75</v>
      </c>
      <c r="BD3" s="35"/>
      <c r="BE3" s="40">
        <v>1</v>
      </c>
    </row>
    <row r="4" spans="1:59" ht="14.25" thickBot="1">
      <c r="A4" s="36" t="s">
        <v>434</v>
      </c>
      <c r="B4" s="37" t="s">
        <v>436</v>
      </c>
      <c r="C4" s="37"/>
      <c r="D4" s="414">
        <f>'Key Input'!E4</f>
        <v>0.96</v>
      </c>
      <c r="E4" s="37"/>
      <c r="F4" s="37"/>
      <c r="G4" s="38"/>
      <c r="H4" s="39"/>
      <c r="I4" s="365" t="s">
        <v>464</v>
      </c>
      <c r="J4" s="529" t="s">
        <v>692</v>
      </c>
      <c r="K4" s="40" t="s">
        <v>465</v>
      </c>
      <c r="N4" s="39"/>
      <c r="O4" s="365" t="s">
        <v>480</v>
      </c>
      <c r="P4" s="365" t="s">
        <v>463</v>
      </c>
      <c r="Q4" s="365" t="s">
        <v>465</v>
      </c>
      <c r="R4" s="364" t="s">
        <v>466</v>
      </c>
      <c r="S4" s="379" t="s">
        <v>479</v>
      </c>
      <c r="W4" s="39"/>
      <c r="X4" s="365" t="s">
        <v>480</v>
      </c>
      <c r="Y4" s="365" t="s">
        <v>463</v>
      </c>
      <c r="Z4" s="365" t="s">
        <v>502</v>
      </c>
      <c r="AA4" s="365"/>
      <c r="AB4" s="364" t="s">
        <v>466</v>
      </c>
      <c r="AC4" s="379" t="s">
        <v>479</v>
      </c>
      <c r="AF4" s="39"/>
      <c r="AG4" s="409" t="s">
        <v>464</v>
      </c>
      <c r="AH4" s="409" t="s">
        <v>463</v>
      </c>
      <c r="AI4" s="409" t="s">
        <v>466</v>
      </c>
      <c r="AJ4" s="409"/>
      <c r="AK4" s="379" t="s">
        <v>479</v>
      </c>
      <c r="AO4" s="39"/>
      <c r="AP4" s="409" t="s">
        <v>464</v>
      </c>
      <c r="AQ4" s="409" t="s">
        <v>463</v>
      </c>
      <c r="AR4" s="455" t="s">
        <v>614</v>
      </c>
      <c r="AS4" s="409" t="s">
        <v>466</v>
      </c>
      <c r="AT4" s="409"/>
      <c r="AU4" s="379" t="s">
        <v>479</v>
      </c>
      <c r="AY4" s="39"/>
      <c r="AZ4" s="365" t="s">
        <v>480</v>
      </c>
      <c r="BA4" s="365" t="s">
        <v>463</v>
      </c>
      <c r="BB4" s="365" t="s">
        <v>502</v>
      </c>
      <c r="BC4" s="365"/>
      <c r="BD4" s="365"/>
      <c r="BE4" s="379" t="s">
        <v>479</v>
      </c>
    </row>
    <row r="5" spans="1:59" ht="14.25" thickBot="1">
      <c r="A5" s="39"/>
      <c r="B5" s="35" t="str">
        <f>'Key Input'!B6</f>
        <v>NG开采CH4逸散比例</v>
      </c>
      <c r="C5" s="35"/>
      <c r="D5" s="449">
        <f>'Key Input'!E6</f>
        <v>3.4344000000000002E-3</v>
      </c>
      <c r="E5" s="35" t="s">
        <v>650</v>
      </c>
      <c r="F5" s="449">
        <f>0.072*47.7/1000</f>
        <v>3.4344000000000002E-3</v>
      </c>
      <c r="G5" s="40"/>
      <c r="H5" s="39"/>
      <c r="I5" s="455"/>
      <c r="J5" s="455"/>
      <c r="K5" s="371"/>
      <c r="N5" s="39"/>
      <c r="O5" s="455"/>
      <c r="P5" s="455"/>
      <c r="Q5" s="455"/>
      <c r="R5" s="456"/>
      <c r="S5" s="379"/>
      <c r="W5" s="39"/>
      <c r="X5" s="455"/>
      <c r="Y5" s="455"/>
      <c r="Z5" s="455"/>
      <c r="AA5" s="455"/>
      <c r="AB5" s="456"/>
      <c r="AC5" s="379"/>
      <c r="AF5" s="39"/>
      <c r="AG5" s="455"/>
      <c r="AH5" s="455"/>
      <c r="AI5" s="455"/>
      <c r="AJ5" s="455"/>
      <c r="AK5" s="379"/>
      <c r="AO5" s="39"/>
      <c r="AP5" s="455"/>
      <c r="AQ5" s="455"/>
      <c r="AR5" s="455"/>
      <c r="AS5" s="455"/>
      <c r="AT5" s="455"/>
      <c r="AU5" s="379"/>
      <c r="AY5" s="39"/>
      <c r="AZ5" s="455"/>
      <c r="BA5" s="455"/>
      <c r="BB5" s="455"/>
      <c r="BC5" s="455"/>
      <c r="BD5" s="455"/>
      <c r="BE5" s="379"/>
    </row>
    <row r="6" spans="1:59" ht="14.25" thickBot="1">
      <c r="A6" s="39"/>
      <c r="B6" s="35" t="s">
        <v>435</v>
      </c>
      <c r="C6" s="35"/>
      <c r="D6" s="414">
        <f>'Key Input'!E5</f>
        <v>0.94</v>
      </c>
      <c r="E6" s="35"/>
      <c r="F6" s="35"/>
      <c r="G6" s="40"/>
      <c r="H6" s="39"/>
      <c r="I6" s="365" t="s">
        <v>467</v>
      </c>
      <c r="J6" s="35" t="s">
        <v>472</v>
      </c>
      <c r="K6" s="371" t="s">
        <v>474</v>
      </c>
      <c r="N6" s="39"/>
      <c r="O6" s="365" t="s">
        <v>481</v>
      </c>
      <c r="P6" s="365" t="s">
        <v>472</v>
      </c>
      <c r="Q6" s="365" t="s">
        <v>474</v>
      </c>
      <c r="R6" s="364" t="s">
        <v>475</v>
      </c>
      <c r="S6" s="379" t="s">
        <v>475</v>
      </c>
      <c r="W6" s="39"/>
      <c r="X6" s="365" t="s">
        <v>481</v>
      </c>
      <c r="Y6" s="365" t="s">
        <v>472</v>
      </c>
      <c r="Z6" s="365" t="s">
        <v>474</v>
      </c>
      <c r="AA6" s="365"/>
      <c r="AB6" s="364" t="s">
        <v>475</v>
      </c>
      <c r="AC6" s="379" t="s">
        <v>475</v>
      </c>
      <c r="AF6" s="39"/>
      <c r="AG6" s="409" t="s">
        <v>467</v>
      </c>
      <c r="AH6" s="409" t="s">
        <v>472</v>
      </c>
      <c r="AI6" s="409" t="s">
        <v>474</v>
      </c>
      <c r="AJ6" s="409"/>
      <c r="AK6" s="508" t="s">
        <v>472</v>
      </c>
      <c r="AO6" s="39"/>
      <c r="AP6" s="409" t="s">
        <v>467</v>
      </c>
      <c r="AQ6" s="409" t="s">
        <v>472</v>
      </c>
      <c r="AR6" s="409"/>
      <c r="AS6" s="409" t="s">
        <v>474</v>
      </c>
      <c r="AT6" s="409"/>
      <c r="AU6" s="379" t="s">
        <v>472</v>
      </c>
      <c r="AY6" s="39"/>
      <c r="AZ6" s="365" t="s">
        <v>481</v>
      </c>
      <c r="BA6" s="365" t="s">
        <v>472</v>
      </c>
      <c r="BB6" s="365" t="s">
        <v>474</v>
      </c>
      <c r="BC6" s="365"/>
      <c r="BD6" s="365"/>
      <c r="BE6" s="379" t="s">
        <v>475</v>
      </c>
    </row>
    <row r="7" spans="1:59">
      <c r="A7" s="39"/>
      <c r="B7" s="35" t="s">
        <v>437</v>
      </c>
      <c r="C7" s="35"/>
      <c r="D7" s="362">
        <f>D4*D6</f>
        <v>0.90239999999999987</v>
      </c>
      <c r="E7" s="35"/>
      <c r="F7" s="35"/>
      <c r="G7" s="40"/>
      <c r="H7" s="39"/>
      <c r="I7" s="365" t="s">
        <v>468</v>
      </c>
      <c r="J7" s="372">
        <f>(1-D7)*E8*1000</f>
        <v>97.600000000000136</v>
      </c>
      <c r="K7" s="373">
        <f>D9*C12/47.7/1000*C10</f>
        <v>10.528301886792452</v>
      </c>
      <c r="N7" s="39"/>
      <c r="O7" s="365" t="s">
        <v>468</v>
      </c>
      <c r="P7" s="380">
        <f>J7</f>
        <v>97.600000000000136</v>
      </c>
      <c r="Q7" s="381">
        <f>D17*C12/47.7/1000*C10</f>
        <v>2.1056603773584905</v>
      </c>
      <c r="R7" s="531">
        <f>D15/(1-D15)*1000</f>
        <v>1.0010010010010011</v>
      </c>
      <c r="S7" s="40">
        <v>0</v>
      </c>
      <c r="W7" s="39"/>
      <c r="X7" s="365" t="s">
        <v>468</v>
      </c>
      <c r="Y7" s="380">
        <f>P7</f>
        <v>97.600000000000136</v>
      </c>
      <c r="Z7" s="536">
        <f>(1-D21)*E22*1000</f>
        <v>96.039999999999978</v>
      </c>
      <c r="AA7" s="381" t="s">
        <v>503</v>
      </c>
      <c r="AB7" s="380">
        <f>D39*D24/C1/1000</f>
        <v>21.069182389937104</v>
      </c>
      <c r="AC7" s="40"/>
      <c r="AF7" s="39"/>
      <c r="AG7" s="409" t="s">
        <v>468</v>
      </c>
      <c r="AH7" s="380">
        <f>Y7</f>
        <v>97.600000000000136</v>
      </c>
      <c r="AI7" s="380">
        <f>(1-D27)*E28*1000</f>
        <v>0</v>
      </c>
      <c r="AJ7" s="381" t="s">
        <v>503</v>
      </c>
      <c r="AK7" s="40"/>
      <c r="AO7" s="39"/>
      <c r="AP7" s="409" t="s">
        <v>468</v>
      </c>
      <c r="AQ7" s="380">
        <f>AH7</f>
        <v>97.600000000000136</v>
      </c>
      <c r="AR7" s="380">
        <f>D31/D9*K7</f>
        <v>10.528301886792452</v>
      </c>
      <c r="AS7" s="380">
        <f>(1-D32)*E33*1000</f>
        <v>0</v>
      </c>
      <c r="AT7" s="381" t="s">
        <v>503</v>
      </c>
      <c r="AU7" s="40"/>
      <c r="AY7" s="39"/>
      <c r="AZ7" s="365" t="s">
        <v>468</v>
      </c>
      <c r="BA7" s="385">
        <f>J7</f>
        <v>97.600000000000136</v>
      </c>
      <c r="BB7" s="381">
        <f>D47*C12/47.7/1000*C10</f>
        <v>0.70188679245283014</v>
      </c>
      <c r="BC7" s="537">
        <f>(1-D45)/D45*1000</f>
        <v>845.01845018450172</v>
      </c>
      <c r="BD7" s="386" t="s">
        <v>5</v>
      </c>
      <c r="BE7" s="38">
        <f>'T&amp;D'!C5</f>
        <v>1.98</v>
      </c>
    </row>
    <row r="8" spans="1:59">
      <c r="A8" s="39"/>
      <c r="B8" s="35" t="s">
        <v>438</v>
      </c>
      <c r="C8" s="35"/>
      <c r="D8" s="35" t="s">
        <v>439</v>
      </c>
      <c r="E8" s="361">
        <v>1</v>
      </c>
      <c r="F8" s="409" t="s">
        <v>469</v>
      </c>
      <c r="G8" s="40"/>
      <c r="H8" s="39"/>
      <c r="I8" s="365" t="s">
        <v>473</v>
      </c>
      <c r="J8" s="372"/>
      <c r="K8" s="373">
        <f>D9*C12/47.7/1000*C11</f>
        <v>1.1698113207547169</v>
      </c>
      <c r="N8" s="39"/>
      <c r="O8" s="365" t="s">
        <v>473</v>
      </c>
      <c r="P8" s="380"/>
      <c r="Q8" s="381">
        <f>D17*C12/47.7/1000*C11</f>
        <v>0.2339622641509434</v>
      </c>
      <c r="R8" s="531">
        <f>D16*1000</f>
        <v>29.999999999999915</v>
      </c>
      <c r="S8" s="40">
        <v>0</v>
      </c>
      <c r="W8" s="39"/>
      <c r="X8" s="365" t="s">
        <v>473</v>
      </c>
      <c r="Y8" s="380"/>
      <c r="Z8" s="536">
        <f>(1-D21)*E23*1000</f>
        <v>1.9600000000000013</v>
      </c>
      <c r="AA8" s="381" t="s">
        <v>504</v>
      </c>
      <c r="AB8" s="380"/>
      <c r="AC8" s="380">
        <f>D40*D37/C1/1000</f>
        <v>5.2410901467505235</v>
      </c>
      <c r="AF8" s="39"/>
      <c r="AG8" s="409" t="s">
        <v>473</v>
      </c>
      <c r="AH8" s="380"/>
      <c r="AI8" s="531">
        <f>(1-D27)*E29*1000</f>
        <v>48.141214228403229</v>
      </c>
      <c r="AJ8" s="381" t="s">
        <v>504</v>
      </c>
      <c r="AK8" s="380">
        <f>AC8</f>
        <v>5.2410901467505235</v>
      </c>
      <c r="AO8" s="39"/>
      <c r="AP8" s="409" t="s">
        <v>473</v>
      </c>
      <c r="AQ8" s="380"/>
      <c r="AR8" s="380">
        <f>D31/D9*K8</f>
        <v>1.1698113207547169</v>
      </c>
      <c r="AS8" s="531">
        <f>(1-D32)*E34*1000</f>
        <v>48.10000000000003</v>
      </c>
      <c r="AT8" s="381" t="s">
        <v>504</v>
      </c>
      <c r="AU8" s="380">
        <f>AK8</f>
        <v>5.2410901467505235</v>
      </c>
      <c r="AY8" s="39"/>
      <c r="AZ8" s="365" t="s">
        <v>473</v>
      </c>
      <c r="BA8" s="365">
        <f>J8</f>
        <v>0</v>
      </c>
      <c r="BB8" s="381">
        <f>D47*C12/47.7/1000*C11</f>
        <v>7.7987421383647795E-2</v>
      </c>
      <c r="BC8" s="381">
        <v>0</v>
      </c>
      <c r="BD8" s="226" t="s">
        <v>6</v>
      </c>
      <c r="BE8" s="40">
        <f>'T&amp;D'!C6</f>
        <v>0.03</v>
      </c>
    </row>
    <row r="9" spans="1:59">
      <c r="A9" s="39"/>
      <c r="B9" s="506" t="s">
        <v>477</v>
      </c>
      <c r="C9" s="35"/>
      <c r="D9" s="452">
        <v>1500</v>
      </c>
      <c r="E9" s="35" t="s">
        <v>449</v>
      </c>
      <c r="F9" s="35" t="s">
        <v>455</v>
      </c>
      <c r="G9" s="40"/>
      <c r="H9" s="39"/>
      <c r="I9" s="365" t="s">
        <v>483</v>
      </c>
      <c r="J9" s="372"/>
      <c r="K9" s="373"/>
      <c r="N9" s="39"/>
      <c r="O9" s="365" t="s">
        <v>484</v>
      </c>
      <c r="P9" s="35"/>
      <c r="Q9" s="35"/>
      <c r="R9" s="35"/>
      <c r="S9" s="40"/>
      <c r="W9" s="39"/>
      <c r="X9" s="365" t="s">
        <v>484</v>
      </c>
      <c r="Y9" s="35"/>
      <c r="Z9" s="360"/>
      <c r="AA9" s="35"/>
      <c r="AB9" s="35"/>
      <c r="AC9" s="40"/>
      <c r="AF9" s="39"/>
      <c r="AG9" s="409" t="s">
        <v>483</v>
      </c>
      <c r="AH9" s="35"/>
      <c r="AI9" s="35"/>
      <c r="AJ9" s="35"/>
      <c r="AK9" s="35"/>
      <c r="AO9" s="39"/>
      <c r="AP9" s="409" t="s">
        <v>483</v>
      </c>
      <c r="AQ9" s="35"/>
      <c r="AR9" s="35"/>
      <c r="AS9" s="35"/>
      <c r="AT9" s="35"/>
      <c r="AU9" s="380"/>
      <c r="AY9" s="39"/>
      <c r="AZ9" s="365" t="s">
        <v>484</v>
      </c>
      <c r="BA9" s="35"/>
      <c r="BB9" s="35"/>
      <c r="BC9" s="35"/>
      <c r="BD9" s="226" t="s">
        <v>7</v>
      </c>
      <c r="BE9" s="40">
        <f>'T&amp;D'!C7</f>
        <v>5.95</v>
      </c>
    </row>
    <row r="10" spans="1:59" ht="14.25" thickBot="1">
      <c r="A10" s="39"/>
      <c r="B10" s="35"/>
      <c r="C10" s="361">
        <v>0.9</v>
      </c>
      <c r="D10" s="35" t="s">
        <v>598</v>
      </c>
      <c r="E10" s="35"/>
      <c r="F10" s="35"/>
      <c r="G10" s="40"/>
      <c r="H10" s="39"/>
      <c r="I10" s="35" t="str">
        <f>I7</f>
        <v>NG</v>
      </c>
      <c r="J10" s="372">
        <f>J7/K3</f>
        <v>97.600000000000136</v>
      </c>
      <c r="K10" s="373">
        <f>K7</f>
        <v>10.528301886792452</v>
      </c>
      <c r="N10" s="382"/>
      <c r="O10" s="365" t="s">
        <v>485</v>
      </c>
      <c r="P10" s="380">
        <f>P7/Q3/R3/S3</f>
        <v>97.697697697697834</v>
      </c>
      <c r="Q10" s="380">
        <f>Q7/R3/S3</f>
        <v>2.1077681455039947</v>
      </c>
      <c r="R10" s="380">
        <f>R7/S3</f>
        <v>1.0010010010010011</v>
      </c>
      <c r="S10" s="383">
        <f>S7</f>
        <v>0</v>
      </c>
      <c r="W10" s="382"/>
      <c r="X10" s="365" t="s">
        <v>485</v>
      </c>
      <c r="Y10" s="380">
        <f>Y7/Z3/AB3/AC3</f>
        <v>97.600000000000136</v>
      </c>
      <c r="Z10" s="380">
        <f>Z7/AB3/AC3</f>
        <v>96.039999999999978</v>
      </c>
      <c r="AA10" s="381" t="s">
        <v>503</v>
      </c>
      <c r="AB10" s="380">
        <f>AB7/AC3</f>
        <v>21.069182389937104</v>
      </c>
      <c r="AC10" s="383">
        <f>AC7</f>
        <v>0</v>
      </c>
      <c r="AF10" s="382"/>
      <c r="AG10" s="409" t="s">
        <v>434</v>
      </c>
      <c r="AH10" s="380">
        <f>Y10</f>
        <v>97.600000000000136</v>
      </c>
      <c r="AI10" s="380">
        <f>AI7/AK3</f>
        <v>0</v>
      </c>
      <c r="AJ10" s="381" t="s">
        <v>503</v>
      </c>
      <c r="AK10" s="380">
        <f>AC10</f>
        <v>0</v>
      </c>
      <c r="AO10" s="382"/>
      <c r="AP10" s="409" t="s">
        <v>434</v>
      </c>
      <c r="AQ10" s="380">
        <f>AH10</f>
        <v>97.600000000000136</v>
      </c>
      <c r="AR10" s="380">
        <f>D31/D9*K10</f>
        <v>10.528301886792452</v>
      </c>
      <c r="AS10" s="380">
        <f>AS7/AU3</f>
        <v>0</v>
      </c>
      <c r="AT10" s="381" t="s">
        <v>503</v>
      </c>
      <c r="AU10" s="380">
        <f>AK10</f>
        <v>0</v>
      </c>
      <c r="AY10" s="382"/>
      <c r="AZ10" s="365" t="s">
        <v>485</v>
      </c>
      <c r="BA10" s="385">
        <f>J10/BB3/BC3/BE3</f>
        <v>130.13333333333352</v>
      </c>
      <c r="BB10" s="380">
        <f>BB7/BC3/BE3</f>
        <v>0.93584905660377349</v>
      </c>
      <c r="BC10" s="381">
        <f>BC7/BE3</f>
        <v>845.01845018450172</v>
      </c>
      <c r="BD10" s="387" t="s">
        <v>8</v>
      </c>
      <c r="BE10" s="43">
        <f>'T&amp;D'!C8</f>
        <v>0.96</v>
      </c>
    </row>
    <row r="11" spans="1:59">
      <c r="A11" s="39"/>
      <c r="B11" s="35"/>
      <c r="C11" s="361">
        <v>0.1</v>
      </c>
      <c r="D11" s="35" t="s">
        <v>446</v>
      </c>
      <c r="E11" s="35"/>
      <c r="F11" s="35"/>
      <c r="G11" s="40"/>
      <c r="H11" s="39"/>
      <c r="I11" s="35" t="str">
        <f>I8</f>
        <v>电</v>
      </c>
      <c r="J11" s="372">
        <f>J8/K3</f>
        <v>0</v>
      </c>
      <c r="K11" s="373">
        <f>K8</f>
        <v>1.1698113207547169</v>
      </c>
      <c r="N11" s="382"/>
      <c r="O11" s="365" t="s">
        <v>486</v>
      </c>
      <c r="P11" s="380">
        <f>P8/Q3/R3/S3</f>
        <v>0</v>
      </c>
      <c r="Q11" s="380">
        <f>Q8/R3/S3</f>
        <v>0.23419646061155497</v>
      </c>
      <c r="R11" s="380">
        <f>R8/S3</f>
        <v>29.999999999999915</v>
      </c>
      <c r="S11" s="383">
        <f>S8</f>
        <v>0</v>
      </c>
      <c r="W11" s="382"/>
      <c r="X11" s="365" t="s">
        <v>486</v>
      </c>
      <c r="Y11" s="380">
        <f>Y8/Z3/AB3/AC3</f>
        <v>0</v>
      </c>
      <c r="Z11" s="380">
        <f>Z8/AB3/AC3</f>
        <v>1.9600000000000013</v>
      </c>
      <c r="AA11" s="381" t="s">
        <v>504</v>
      </c>
      <c r="AB11" s="380">
        <f>AB8/AC3</f>
        <v>0</v>
      </c>
      <c r="AC11" s="383">
        <f>AC8</f>
        <v>5.2410901467505235</v>
      </c>
      <c r="AF11" s="382"/>
      <c r="AG11" s="409" t="s">
        <v>473</v>
      </c>
      <c r="AH11" s="380">
        <f>Y11</f>
        <v>0</v>
      </c>
      <c r="AI11" s="380">
        <f>AI8/AK3</f>
        <v>48.141214228403229</v>
      </c>
      <c r="AJ11" s="381" t="s">
        <v>504</v>
      </c>
      <c r="AK11" s="380">
        <f>AC11</f>
        <v>5.2410901467505235</v>
      </c>
      <c r="AO11" s="382"/>
      <c r="AP11" s="409" t="s">
        <v>473</v>
      </c>
      <c r="AQ11" s="380">
        <f>AH11</f>
        <v>0</v>
      </c>
      <c r="AR11" s="380">
        <f>D31/D9*K11</f>
        <v>1.1698113207547169</v>
      </c>
      <c r="AS11" s="380">
        <f>AS8/AU3</f>
        <v>48.10000000000003</v>
      </c>
      <c r="AT11" s="381" t="s">
        <v>504</v>
      </c>
      <c r="AU11" s="380">
        <f>AK11</f>
        <v>5.2410901467505235</v>
      </c>
      <c r="AY11" s="382"/>
      <c r="AZ11" s="365" t="s">
        <v>486</v>
      </c>
      <c r="BA11" s="365">
        <f>J11/BB3/BC3/BE3</f>
        <v>0</v>
      </c>
      <c r="BB11" s="380">
        <f>BB8/BC3/BE3</f>
        <v>0.1039832285115304</v>
      </c>
      <c r="BC11" s="381">
        <f>BC8/BE3</f>
        <v>0</v>
      </c>
      <c r="BD11" s="381"/>
      <c r="BE11" s="383"/>
    </row>
    <row r="12" spans="1:59" ht="14.25" thickBot="1">
      <c r="A12" s="41"/>
      <c r="B12" s="451" t="s">
        <v>470</v>
      </c>
      <c r="C12" s="450">
        <v>372</v>
      </c>
      <c r="D12" s="451" t="s">
        <v>471</v>
      </c>
      <c r="E12" s="42"/>
      <c r="F12" s="42"/>
      <c r="G12" s="43"/>
      <c r="H12" s="39"/>
      <c r="I12" s="35"/>
      <c r="J12" s="372"/>
      <c r="K12" s="373"/>
      <c r="N12" s="382"/>
      <c r="O12" s="35"/>
      <c r="P12" s="35"/>
      <c r="Q12" s="35"/>
      <c r="R12" s="35"/>
      <c r="S12" s="40"/>
      <c r="W12" s="382"/>
      <c r="X12" s="35"/>
      <c r="Y12" s="35"/>
      <c r="Z12" s="35"/>
      <c r="AA12" s="35"/>
      <c r="AB12" s="35"/>
      <c r="AC12" s="40"/>
      <c r="AF12" s="382"/>
      <c r="AG12" s="35"/>
      <c r="AH12" s="35"/>
      <c r="AI12" s="35"/>
      <c r="AJ12" s="35"/>
      <c r="AK12" s="35"/>
      <c r="AO12" s="382"/>
      <c r="AP12" s="35"/>
      <c r="AQ12" s="35"/>
      <c r="AR12" s="35"/>
      <c r="AS12" s="35"/>
      <c r="AT12" s="35"/>
      <c r="AU12" s="380"/>
      <c r="AY12" s="382"/>
      <c r="AZ12" s="35"/>
      <c r="BA12" s="35"/>
      <c r="BB12" s="35"/>
      <c r="BC12" s="35"/>
      <c r="BD12" s="35"/>
      <c r="BE12" s="40"/>
    </row>
    <row r="13" spans="1:59" ht="14.25" thickBot="1">
      <c r="A13" s="39"/>
      <c r="B13" s="35"/>
      <c r="C13" s="35"/>
      <c r="D13" s="35"/>
      <c r="E13" s="35"/>
      <c r="F13" s="35"/>
      <c r="G13" s="40"/>
      <c r="H13" s="374" t="s">
        <v>487</v>
      </c>
      <c r="I13" s="365" t="s">
        <v>492</v>
      </c>
      <c r="J13" s="372">
        <f>J10*'LC factor'!H15+'NG-based'!J11*'LC factor'!L15</f>
        <v>4.4367237047770356</v>
      </c>
      <c r="K13" s="373">
        <f>K10*'LC factor'!H15+K11*'LC factor'!L15</f>
        <v>3.2947116843928073</v>
      </c>
      <c r="L13">
        <v>0</v>
      </c>
      <c r="M13" s="366">
        <f>(J13+K13+L13)/1000</f>
        <v>7.7314353891698422E-3</v>
      </c>
      <c r="N13" s="374" t="s">
        <v>487</v>
      </c>
      <c r="O13" s="365" t="s">
        <v>492</v>
      </c>
      <c r="P13" s="35">
        <f>P10*'LC factor'!H15+P11*'LC factor'!L15</f>
        <v>4.4411648696466823</v>
      </c>
      <c r="Q13" s="35">
        <f>Q10*'LC factor'!B8+Q11*'LC factor'!B12</f>
        <v>0.65960193881737883</v>
      </c>
      <c r="R13" s="35">
        <f>R10*'LC factor'!B8+R11*'LC factor'!B12</f>
        <v>72.265192926157269</v>
      </c>
      <c r="S13" s="40">
        <f>S10*'LC factor'!B8+S11*'LC factor'!B12</f>
        <v>0</v>
      </c>
      <c r="T13">
        <v>0</v>
      </c>
      <c r="U13" s="366">
        <f>P13+Q13+R13+S13+T13</f>
        <v>77.365959734621327</v>
      </c>
      <c r="V13" s="366"/>
      <c r="W13" s="374" t="s">
        <v>487</v>
      </c>
      <c r="X13" s="365" t="s">
        <v>492</v>
      </c>
      <c r="Y13" s="35">
        <f>Y10*'LC factor'!B8+Y11*'LC factor'!B12</f>
        <v>4.4367237047770356</v>
      </c>
      <c r="Z13" s="35">
        <f>Z10*'LC factor'!B8+Z11*'LC factor'!B12</f>
        <v>9.0841618856083652</v>
      </c>
      <c r="AA13" s="35"/>
      <c r="AB13" s="35">
        <f>AB10*'LC factor'!B11+'LC factor'!B9*'NG-based'!AB11</f>
        <v>1.2066904095051141</v>
      </c>
      <c r="AC13" s="40">
        <f>AC10*'LC factor'!B11+'LC factor'!B9*'NG-based'!AC11</f>
        <v>0.37885787892179007</v>
      </c>
      <c r="AD13">
        <v>0</v>
      </c>
      <c r="AE13" s="366">
        <f>Y13+Z13+AB13+AC13+AD13</f>
        <v>15.106433878812306</v>
      </c>
      <c r="AF13" s="412" t="s">
        <v>487</v>
      </c>
      <c r="AG13" s="409" t="s">
        <v>492</v>
      </c>
      <c r="AH13" s="380">
        <f>Y13</f>
        <v>4.4367237047770356</v>
      </c>
      <c r="AI13" s="35">
        <f>AI10*'LC factor'!B8+AI11*'LC factor'!B12</f>
        <v>115.89145095652124</v>
      </c>
      <c r="AJ13" s="35"/>
      <c r="AK13" s="380">
        <f>AC13</f>
        <v>0.37885787892179007</v>
      </c>
      <c r="AL13">
        <v>0</v>
      </c>
      <c r="AM13" s="366">
        <f>AH13+AI13+AK13+AL13</f>
        <v>120.70703254022007</v>
      </c>
      <c r="AN13" s="366"/>
      <c r="AO13" s="412" t="s">
        <v>487</v>
      </c>
      <c r="AP13" s="409" t="s">
        <v>492</v>
      </c>
      <c r="AQ13" s="380">
        <f>AH13</f>
        <v>4.4367237047770356</v>
      </c>
      <c r="AR13" s="380">
        <f>D31/D9*K13</f>
        <v>3.2947116843928073</v>
      </c>
      <c r="AS13" s="35">
        <f>AS10*'LC factor'!B8+AS11*'LC factor'!B12</f>
        <v>115.79223499767485</v>
      </c>
      <c r="AT13" s="35"/>
      <c r="AU13" s="380">
        <f t="shared" ref="AU13:AU21" si="0">AK13</f>
        <v>0.37885787892179007</v>
      </c>
      <c r="AV13">
        <v>0</v>
      </c>
      <c r="AW13" s="366">
        <f>AQ13+AR13+AS13+AU13+AV13</f>
        <v>123.90252826576649</v>
      </c>
      <c r="AY13" s="374" t="s">
        <v>487</v>
      </c>
      <c r="AZ13" s="365" t="s">
        <v>492</v>
      </c>
      <c r="BA13" s="365">
        <f>BA10*'LC factor'!H15+'LC factor'!L15*BA11</f>
        <v>5.9156316063693817</v>
      </c>
      <c r="BB13" s="35">
        <f>BB10*'LC factor'!H15+'LC factor'!L15*BB11</f>
        <v>0.29286326083491621</v>
      </c>
      <c r="BC13" s="35">
        <f>BC10*'LC factor'!H15+'LC factor'!L15*BC11</f>
        <v>38.413047017495145</v>
      </c>
      <c r="BD13" s="35"/>
      <c r="BE13" s="40">
        <f>BE7*'LC factor'!B9+'NG-based'!BE8*'LC factor'!B10+'NG-based'!BE9*'LC factor'!B11+'NG-based'!BE10*'LC factor'!B12</f>
        <v>2.7971572740058148</v>
      </c>
      <c r="BF13">
        <v>0</v>
      </c>
      <c r="BG13" s="366">
        <f>BA13+BB13+BC13+BE13+BF13</f>
        <v>47.418699158705252</v>
      </c>
    </row>
    <row r="14" spans="1:59">
      <c r="A14" s="36" t="s">
        <v>440</v>
      </c>
      <c r="B14" s="37" t="s">
        <v>441</v>
      </c>
      <c r="C14" s="37"/>
      <c r="D14" s="449">
        <f>'Key Input'!E9</f>
        <v>0.96900000000000008</v>
      </c>
      <c r="E14" s="37"/>
      <c r="F14" s="37"/>
      <c r="G14" s="38"/>
      <c r="H14" s="374" t="s">
        <v>488</v>
      </c>
      <c r="I14" s="365" t="s">
        <v>492</v>
      </c>
      <c r="J14" s="372">
        <f>J10*'LC factor'!H16+'NG-based'!J11*'LC factor'!L16</f>
        <v>103.26319429789575</v>
      </c>
      <c r="K14" s="373">
        <f>K10*'LC factor'!H16+K11*'LC factor'!L16</f>
        <v>11.358165075942514</v>
      </c>
      <c r="L14">
        <v>1000</v>
      </c>
      <c r="M14" s="366">
        <f>(J14+K14+L14)/1000</f>
        <v>1.1146213593738383</v>
      </c>
      <c r="N14" s="374" t="s">
        <v>488</v>
      </c>
      <c r="O14" s="365" t="s">
        <v>492</v>
      </c>
      <c r="P14" s="35">
        <f>P10*'LC factor'!C8+P11*'LC factor'!C12</f>
        <v>103.36656085875451</v>
      </c>
      <c r="Q14" s="35">
        <f>Q10*'LC factor'!C8+Q11*'LC factor'!C12</f>
        <v>2.2739069221106143</v>
      </c>
      <c r="R14" s="35">
        <f>R10*'LC factor'!C8+R11*'LC factor'!C12</f>
        <v>6.6744353800128113</v>
      </c>
      <c r="S14" s="40">
        <f>S10*'LC factor'!C8+S11*'LC factor'!C12</f>
        <v>0</v>
      </c>
      <c r="T14">
        <v>1000</v>
      </c>
      <c r="U14" s="366">
        <f>P14+Q14+R14+S14+T14</f>
        <v>1112.314903160878</v>
      </c>
      <c r="V14" s="366"/>
      <c r="W14" s="374" t="s">
        <v>488</v>
      </c>
      <c r="X14" s="365" t="s">
        <v>492</v>
      </c>
      <c r="Y14" s="35">
        <f>Y10*'LC factor'!C8+Y11*'LC factor'!C12</f>
        <v>103.26319429789575</v>
      </c>
      <c r="Z14" s="35">
        <f>Z10*'LC factor'!C8+Z11*'LC factor'!C12</f>
        <v>101.9795456770043</v>
      </c>
      <c r="AA14" s="35"/>
      <c r="AB14" s="35">
        <f>AB10*'LC factor'!C11+'LC factor'!C9*'NG-based'!AB11</f>
        <v>0.94066930032412432</v>
      </c>
      <c r="AC14" s="40">
        <f>AC10*'LC factor'!C11+'LC factor'!C9*'NG-based'!AC11</f>
        <v>0.25984793010238222</v>
      </c>
      <c r="AD14">
        <v>1000</v>
      </c>
      <c r="AE14" s="366">
        <f>Y14+Z14+AB14+AC14+AD14</f>
        <v>1206.4432572053265</v>
      </c>
      <c r="AF14" s="412" t="s">
        <v>488</v>
      </c>
      <c r="AG14" s="409" t="s">
        <v>492</v>
      </c>
      <c r="AH14" s="380">
        <f>Y14</f>
        <v>103.26319429789575</v>
      </c>
      <c r="AI14" s="35">
        <f>AI10*'LC factor'!C8+AI11*'LC factor'!C12</f>
        <v>9.0109950756727368</v>
      </c>
      <c r="AJ14" s="35"/>
      <c r="AK14" s="380">
        <f>AC14</f>
        <v>0.25984793010238222</v>
      </c>
      <c r="AL14">
        <v>1000</v>
      </c>
      <c r="AM14" s="366">
        <f>AH14+AI14+AK14+AL14</f>
        <v>1112.5340373036709</v>
      </c>
      <c r="AN14" s="366"/>
      <c r="AO14" s="412" t="s">
        <v>488</v>
      </c>
      <c r="AP14" s="409" t="s">
        <v>492</v>
      </c>
      <c r="AQ14" s="380">
        <f>AH14</f>
        <v>103.26319429789575</v>
      </c>
      <c r="AR14" s="380">
        <f>D31/D9*K14</f>
        <v>11.358165075942514</v>
      </c>
      <c r="AS14" s="35">
        <f>AS10*'LC factor'!C8+AS11*'LC factor'!C12</f>
        <v>9.0032806626663078</v>
      </c>
      <c r="AT14" s="35"/>
      <c r="AU14" s="380">
        <f t="shared" si="0"/>
        <v>0.25984793010238222</v>
      </c>
      <c r="AV14">
        <v>1000</v>
      </c>
      <c r="AW14" s="366">
        <f>AQ14+AR14+AS14+AU14+AV14</f>
        <v>1123.8844879666069</v>
      </c>
      <c r="AY14" s="374" t="s">
        <v>488</v>
      </c>
      <c r="AZ14" s="365" t="s">
        <v>492</v>
      </c>
      <c r="BA14" s="365">
        <f>BA10*'LC factor'!H16+'LC factor'!L16*BA11</f>
        <v>137.68425906386102</v>
      </c>
      <c r="BB14" s="35">
        <f>BB10*'LC factor'!H16+'LC factor'!L16*BB115</f>
        <v>0.99015125989321484</v>
      </c>
      <c r="BC14" s="35">
        <f>BC10*'LC factor'!H16+'LC factor'!L16*BC11</f>
        <v>894.05025006873802</v>
      </c>
      <c r="BD14" s="35"/>
      <c r="BE14" s="40">
        <f>BE7*'LC factor'!C9+BE8*'LC factor'!C10+BE9*'LC factor'!C11+BE10*'LC factor'!C12</f>
        <v>0.54501075267156851</v>
      </c>
      <c r="BF14">
        <v>1000</v>
      </c>
      <c r="BG14" s="366">
        <f>BA14+BB14+BC14+BE14+BF14</f>
        <v>2033.2696711451638</v>
      </c>
    </row>
    <row r="15" spans="1:59">
      <c r="A15" s="39"/>
      <c r="B15" s="35" t="s">
        <v>442</v>
      </c>
      <c r="C15" s="35"/>
      <c r="D15" s="64">
        <v>1E-3</v>
      </c>
      <c r="E15" s="35"/>
      <c r="F15" s="35"/>
      <c r="G15" s="40"/>
      <c r="H15" s="374" t="s">
        <v>489</v>
      </c>
      <c r="I15" s="365" t="s">
        <v>492</v>
      </c>
      <c r="J15" s="372">
        <f>J10*'LC factor'!H17+'NG-based'!J11*'LC factor'!L17</f>
        <v>4.744992867206685</v>
      </c>
      <c r="K15" s="373">
        <f>K10*'LC factor'!H17+K11*'LC factor'!L17</f>
        <v>0.59146237839919946</v>
      </c>
      <c r="L15">
        <v>0</v>
      </c>
      <c r="M15" s="366">
        <f>(J15+K15+L15)/1000</f>
        <v>5.336455245605885E-3</v>
      </c>
      <c r="N15" s="374" t="s">
        <v>489</v>
      </c>
      <c r="O15" s="365" t="s">
        <v>492</v>
      </c>
      <c r="P15" s="35">
        <f>P10*'LC factor'!D8+P11*'LC factor'!D12</f>
        <v>4.7497426098165016</v>
      </c>
      <c r="Q15" s="35">
        <f>Q10*'LC factor'!D8+Q11*'LC factor'!D12</f>
        <v>0.11841088656640632</v>
      </c>
      <c r="R15" s="35">
        <f>R10*'LC factor'!D8+R11*'LC factor'!D12</f>
        <v>2.090296333664424</v>
      </c>
      <c r="S15" s="40">
        <f>S10*'LC factor'!D8+S11*'LC factor'!D12</f>
        <v>0</v>
      </c>
      <c r="T15">
        <v>0</v>
      </c>
      <c r="U15" s="366">
        <f>P15+Q15+R15+S15+T15</f>
        <v>6.9584498300473321</v>
      </c>
      <c r="V15" s="366"/>
      <c r="W15" s="374" t="s">
        <v>489</v>
      </c>
      <c r="X15" s="365" t="s">
        <v>492</v>
      </c>
      <c r="Y15" s="35">
        <f>Y10*'LC factor'!D8+Y11*'LC factor'!D12</f>
        <v>4.744992867206685</v>
      </c>
      <c r="Z15" s="35">
        <f>Z10*'LC factor'!D8+Z11*'LC factor'!D12</f>
        <v>4.8025373227203927</v>
      </c>
      <c r="AA15" s="35"/>
      <c r="AB15" s="35">
        <f>AB10*'LC factor'!D11+'LC factor'!D9*'NG-based'!AB11</f>
        <v>23.239733999963143</v>
      </c>
      <c r="AC15" s="40">
        <f>AC10*'LC factor'!D11+'LC factor'!D9*'NG-based'!AC11</f>
        <v>6.0127285935776111</v>
      </c>
      <c r="AD15">
        <v>0</v>
      </c>
      <c r="AE15" s="366">
        <f>Y15+Z15+AB15+AC15+AD15</f>
        <v>38.799992783467836</v>
      </c>
      <c r="AF15" s="412" t="s">
        <v>489</v>
      </c>
      <c r="AG15" s="409" t="s">
        <v>492</v>
      </c>
      <c r="AH15" s="380">
        <f>Y15</f>
        <v>4.744992867206685</v>
      </c>
      <c r="AI15" s="35">
        <f>AI10*'LC factor'!D8+AI11*'LC factor'!D12</f>
        <v>3.2762197455020767</v>
      </c>
      <c r="AJ15" s="35"/>
      <c r="AK15" s="380">
        <f>AC15</f>
        <v>6.0127285935776111</v>
      </c>
      <c r="AL15">
        <v>0</v>
      </c>
      <c r="AM15" s="366">
        <f>AH15+AI15+AK15+AL15</f>
        <v>14.033941206286373</v>
      </c>
      <c r="AN15" s="366"/>
      <c r="AO15" s="412" t="s">
        <v>489</v>
      </c>
      <c r="AP15" s="409" t="s">
        <v>492</v>
      </c>
      <c r="AQ15" s="380">
        <f>AH15</f>
        <v>4.744992867206685</v>
      </c>
      <c r="AR15" s="380">
        <f>D31/D9*K15</f>
        <v>0.59146237839919946</v>
      </c>
      <c r="AS15" s="35">
        <f>AS10*'LC factor'!D8+AS11*'LC factor'!D12</f>
        <v>3.2734149373755188</v>
      </c>
      <c r="AT15" s="35"/>
      <c r="AU15" s="380">
        <f>AK15</f>
        <v>6.0127285935776111</v>
      </c>
      <c r="AV15">
        <v>0</v>
      </c>
      <c r="AW15" s="366">
        <f>AQ15+AR15+AS15+AU15+AV15</f>
        <v>14.622598776559014</v>
      </c>
      <c r="AY15" s="374" t="s">
        <v>489</v>
      </c>
      <c r="AZ15" s="365" t="s">
        <v>492</v>
      </c>
      <c r="BA15" s="365">
        <f>BA10*'LC factor'!H17+'LC factor'!L17*'NG-based'!BA11</f>
        <v>6.3266571562755809</v>
      </c>
      <c r="BB15" s="35">
        <f>BB10*'LC factor'!H17+BB11*'LC factor'!L17</f>
        <v>5.2574433635484398E-2</v>
      </c>
      <c r="BC15" s="35">
        <f>BC10*'LC factor'!H17+'LC factor'!L17*'NG-based'!BC11</f>
        <v>41.08203400392933</v>
      </c>
      <c r="BD15" s="35"/>
      <c r="BE15" s="40">
        <f>BE7*'LC factor'!D9+BE8*'LC factor'!D10+BE9*'LC factor'!D11+BE10*'LC factor'!D12</f>
        <v>8.9344246406559069</v>
      </c>
      <c r="BF15">
        <v>0</v>
      </c>
      <c r="BG15" s="366">
        <f>BA15+BB15+BC15+BE15+BF15</f>
        <v>56.3956902344963</v>
      </c>
    </row>
    <row r="16" spans="1:59">
      <c r="A16" s="39"/>
      <c r="B16" s="35" t="s">
        <v>443</v>
      </c>
      <c r="C16" s="35"/>
      <c r="D16" s="64">
        <f>1-D14-D15</f>
        <v>2.9999999999999916E-2</v>
      </c>
      <c r="E16" s="35"/>
      <c r="F16" s="35"/>
      <c r="G16" s="40"/>
      <c r="H16" s="374" t="s">
        <v>490</v>
      </c>
      <c r="I16" s="365" t="s">
        <v>492</v>
      </c>
      <c r="J16" s="372">
        <f>J13+J14+J15</f>
        <v>112.44491086987948</v>
      </c>
      <c r="K16" s="373">
        <f>K13+K14+K15</f>
        <v>15.244339138734521</v>
      </c>
      <c r="L16" s="373">
        <f>L13+L14+L15</f>
        <v>1000</v>
      </c>
      <c r="M16" s="366">
        <f>(J16+K16+L16)/1000</f>
        <v>1.127689250008614</v>
      </c>
      <c r="N16" s="374" t="s">
        <v>490</v>
      </c>
      <c r="O16" s="365" t="s">
        <v>492</v>
      </c>
      <c r="P16" s="372">
        <f>P13+P14+P15</f>
        <v>112.5574683382177</v>
      </c>
      <c r="Q16" s="372">
        <f>Q13+Q14+Q15</f>
        <v>3.0519197474943995</v>
      </c>
      <c r="R16" s="372">
        <f>R13+R14+R15</f>
        <v>81.029924639834505</v>
      </c>
      <c r="S16" s="373">
        <f>S13+S14+S15</f>
        <v>0</v>
      </c>
      <c r="T16" s="373">
        <f>T13+T14+T15</f>
        <v>1000</v>
      </c>
      <c r="U16" s="366">
        <f>P16+Q16+R16+S16+T16</f>
        <v>1196.6393127255467</v>
      </c>
      <c r="V16" s="366"/>
      <c r="W16" s="374" t="s">
        <v>490</v>
      </c>
      <c r="X16" s="365" t="s">
        <v>492</v>
      </c>
      <c r="Y16" s="372">
        <f>Y13+Y14+Y15</f>
        <v>112.44491086987948</v>
      </c>
      <c r="Z16" s="372">
        <f>Z13+Z14+Z15</f>
        <v>115.86624488533306</v>
      </c>
      <c r="AA16" s="372"/>
      <c r="AB16" s="372">
        <f>AB13+AB14+AB15</f>
        <v>25.387093709792381</v>
      </c>
      <c r="AC16" s="373">
        <f>AC13+AC14+AC15</f>
        <v>6.6514344026017831</v>
      </c>
      <c r="AD16" s="373">
        <f>AD13+AD14+AD15</f>
        <v>1000</v>
      </c>
      <c r="AE16" s="366">
        <f>Y16+Z16+AB16+AC16+AD16</f>
        <v>1260.3496838676067</v>
      </c>
      <c r="AF16" s="412" t="s">
        <v>490</v>
      </c>
      <c r="AG16" s="409" t="s">
        <v>492</v>
      </c>
      <c r="AH16" s="380">
        <f>Y16</f>
        <v>112.44491086987948</v>
      </c>
      <c r="AI16" s="372">
        <f>AI13+AI14+AI15</f>
        <v>128.17866577769607</v>
      </c>
      <c r="AJ16" s="372"/>
      <c r="AK16" s="380">
        <f>AC16</f>
        <v>6.6514344026017831</v>
      </c>
      <c r="AL16" s="373">
        <f>AL13+AL14+AL15</f>
        <v>1000</v>
      </c>
      <c r="AM16" s="366">
        <f>AH16+AI16+AK16+AL16</f>
        <v>1247.2750110501772</v>
      </c>
      <c r="AN16" s="366"/>
      <c r="AO16" s="412" t="s">
        <v>490</v>
      </c>
      <c r="AP16" s="409" t="s">
        <v>492</v>
      </c>
      <c r="AQ16" s="380">
        <f>AH16</f>
        <v>112.44491086987948</v>
      </c>
      <c r="AR16" s="380">
        <f>D31/D9*K16</f>
        <v>15.244339138734521</v>
      </c>
      <c r="AS16" s="372">
        <f>AS13+AS14+AS15</f>
        <v>128.06893059771667</v>
      </c>
      <c r="AT16" s="372"/>
      <c r="AU16" s="380">
        <f>AK16</f>
        <v>6.6514344026017831</v>
      </c>
      <c r="AV16" s="373">
        <f>AV13+AV14+AV15</f>
        <v>1000</v>
      </c>
      <c r="AW16" s="366">
        <f>AQ16+AR16+AS16+AU16+AV16</f>
        <v>1262.4096150089324</v>
      </c>
      <c r="AY16" s="374" t="s">
        <v>490</v>
      </c>
      <c r="AZ16" s="365" t="s">
        <v>492</v>
      </c>
      <c r="BA16" s="372">
        <f>BA13+BA14+BA15</f>
        <v>149.92654782650598</v>
      </c>
      <c r="BB16" s="372">
        <f>BB13+BB14+BB15</f>
        <v>1.3355889543636152</v>
      </c>
      <c r="BC16" s="372">
        <f>BC13+BC14+BC15</f>
        <v>973.54533109016256</v>
      </c>
      <c r="BD16" s="372"/>
      <c r="BE16" s="372">
        <f>BE13+BE14+BE15</f>
        <v>12.27659266733329</v>
      </c>
      <c r="BF16" s="373">
        <f>BF13+BF14+BF15</f>
        <v>1000</v>
      </c>
      <c r="BG16" s="366">
        <f>BA16+BB16+BC16+BE16+BF16</f>
        <v>2137.0840605383655</v>
      </c>
    </row>
    <row r="17" spans="1:59">
      <c r="A17" s="39"/>
      <c r="B17" s="409" t="s">
        <v>476</v>
      </c>
      <c r="C17" s="35"/>
      <c r="D17" s="367">
        <f>'Key Input'!E8</f>
        <v>300</v>
      </c>
      <c r="E17" s="35" t="s">
        <v>449</v>
      </c>
      <c r="F17" s="35" t="s">
        <v>456</v>
      </c>
      <c r="G17" s="40"/>
      <c r="H17" s="39"/>
      <c r="I17" s="35"/>
      <c r="J17" s="372"/>
      <c r="K17" s="373"/>
      <c r="M17" s="438">
        <f>1/M16</f>
        <v>0.88676911657388002</v>
      </c>
      <c r="N17" s="39"/>
      <c r="O17" s="35"/>
      <c r="P17" s="35"/>
      <c r="Q17" s="35"/>
      <c r="R17" s="35"/>
      <c r="S17" s="40"/>
      <c r="U17" s="388">
        <f>1000/U16</f>
        <v>0.83567369830290161</v>
      </c>
      <c r="V17" s="429"/>
      <c r="W17" s="39"/>
      <c r="X17" s="35"/>
      <c r="Y17" s="35"/>
      <c r="Z17" s="35"/>
      <c r="AA17" s="35"/>
      <c r="AB17" s="35"/>
      <c r="AC17" s="40"/>
      <c r="AE17" s="388">
        <f>1000/AE16</f>
        <v>0.79343059533392546</v>
      </c>
      <c r="AF17" s="39"/>
      <c r="AG17" s="35"/>
      <c r="AH17" s="35"/>
      <c r="AI17" s="35"/>
      <c r="AJ17" s="35"/>
      <c r="AK17" s="35"/>
      <c r="AM17" s="429">
        <f>1000/AM16</f>
        <v>0.80174780312324445</v>
      </c>
      <c r="AN17" s="429"/>
      <c r="AO17" s="39"/>
      <c r="AP17" s="35"/>
      <c r="AQ17" s="35"/>
      <c r="AR17" s="35"/>
      <c r="AS17" s="35"/>
      <c r="AT17" s="35"/>
      <c r="AU17" s="380"/>
      <c r="AW17" s="429">
        <f>1000/AW16</f>
        <v>0.79213591857261345</v>
      </c>
      <c r="AY17" s="39"/>
      <c r="AZ17" s="35"/>
      <c r="BA17" s="35"/>
      <c r="BB17" s="35"/>
      <c r="BC17" s="35"/>
      <c r="BD17" s="35"/>
      <c r="BE17" s="40"/>
      <c r="BG17" s="388">
        <f>1000/BG16</f>
        <v>0.46792731201602061</v>
      </c>
    </row>
    <row r="18" spans="1:59">
      <c r="A18" s="39"/>
      <c r="B18" s="35"/>
      <c r="C18" s="361">
        <v>0.9</v>
      </c>
      <c r="D18" s="35" t="s">
        <v>439</v>
      </c>
      <c r="E18" s="35"/>
      <c r="F18" s="35"/>
      <c r="G18" s="40"/>
      <c r="H18" s="374" t="s">
        <v>491</v>
      </c>
      <c r="I18" s="691" t="s">
        <v>1015</v>
      </c>
      <c r="J18" s="372">
        <f>J10*'LC factor'!H18+'NG-based'!J11*'LC factor'!L18</f>
        <v>6582.083881740512</v>
      </c>
      <c r="K18" s="373">
        <f>K10*'LC factor'!H18+K11*'LC factor'!L18</f>
        <v>958.25792612362227</v>
      </c>
      <c r="L18" s="534">
        <f>57700*0.99</f>
        <v>57123</v>
      </c>
      <c r="M18" s="366">
        <f>(J18+K18+L18)/1000</f>
        <v>64.663341807864128</v>
      </c>
      <c r="N18" s="374" t="s">
        <v>491</v>
      </c>
      <c r="O18" s="365" t="s">
        <v>493</v>
      </c>
      <c r="P18" s="35">
        <f>P10*'LC factor'!H18+P11*'LC factor'!L18</f>
        <v>6588.672554294807</v>
      </c>
      <c r="Q18" s="365">
        <f>Q10*'LC factor'!H18+Q11*'LC factor'!L18</f>
        <v>191.84342865337786</v>
      </c>
      <c r="R18" s="365">
        <f>R10*'LC factor'!H18+R11*'LC factor'!L18</f>
        <v>6433.5522748543035</v>
      </c>
      <c r="S18" s="371">
        <f>S10*'LC factor'!H18+S11*'LC factor'!L18</f>
        <v>0</v>
      </c>
      <c r="T18" s="534">
        <f>57700*0.99</f>
        <v>57123</v>
      </c>
      <c r="U18" s="438">
        <f>SUM(P18:T18)/1000</f>
        <v>70.337068257802486</v>
      </c>
      <c r="W18" s="374" t="s">
        <v>491</v>
      </c>
      <c r="X18" s="365" t="s">
        <v>493</v>
      </c>
      <c r="Y18" s="35">
        <f>Y10*'LC factor'!H18+Y11*'LC factor'!L18</f>
        <v>6582.083881740512</v>
      </c>
      <c r="Z18" s="365">
        <f>Z10*'LC factor'!H18+Z11*'LC factor'!L18</f>
        <v>6892.7934077304808</v>
      </c>
      <c r="AA18" s="365"/>
      <c r="AB18" s="365">
        <f>AB10*'LC factor'!L11+'LC factor'!L9*'NG-based'!AB11</f>
        <v>1905.6531263783158</v>
      </c>
      <c r="AC18" s="371">
        <f>AC10*'LC factor'!L11+'LC factor'!L9*'NG-based'!AC11</f>
        <v>481.64016776563949</v>
      </c>
      <c r="AD18" s="534">
        <f>57700*0.99</f>
        <v>57123</v>
      </c>
      <c r="AE18" s="438">
        <f>SUM(Y18:AD18)/1000</f>
        <v>72.985170583614945</v>
      </c>
      <c r="AF18" s="412" t="s">
        <v>491</v>
      </c>
      <c r="AG18" s="409" t="s">
        <v>493</v>
      </c>
      <c r="AH18" s="380">
        <f>Y18</f>
        <v>6582.083881740512</v>
      </c>
      <c r="AI18" s="455">
        <f>AI10*'LC factor'!H18+AI11*'LC factor'!L18</f>
        <v>10215.638487182388</v>
      </c>
      <c r="AJ18" s="409"/>
      <c r="AK18" s="380">
        <f>AC18</f>
        <v>481.64016776563949</v>
      </c>
      <c r="AL18" s="534">
        <f>57700*0.99</f>
        <v>57123</v>
      </c>
      <c r="AM18" s="438">
        <f>SUM(AH18:AL18)/1000</f>
        <v>74.402362536688543</v>
      </c>
      <c r="AO18" s="412" t="s">
        <v>491</v>
      </c>
      <c r="AP18" s="409" t="s">
        <v>493</v>
      </c>
      <c r="AQ18" s="380">
        <f>AH18</f>
        <v>6582.083881740512</v>
      </c>
      <c r="AR18" s="380">
        <f>D31/D9*K18</f>
        <v>958.25792612362227</v>
      </c>
      <c r="AS18" s="455">
        <f>AS10*'LC factor'!H18+AS11*'LC factor'!L18</f>
        <v>10206.892765566443</v>
      </c>
      <c r="AT18" s="409"/>
      <c r="AU18" s="380">
        <f t="shared" si="0"/>
        <v>481.64016776563949</v>
      </c>
      <c r="AV18" s="534">
        <f>57700*0.99</f>
        <v>57123</v>
      </c>
      <c r="AW18" s="438">
        <f>SUM(AQ18:AV18)/1000</f>
        <v>75.351874741196227</v>
      </c>
      <c r="AY18" s="374" t="s">
        <v>491</v>
      </c>
      <c r="AZ18" s="365" t="s">
        <v>493</v>
      </c>
      <c r="BA18" s="385">
        <f>BA10*'LC factor'!H18+'LC factor'!L18*'NG-based'!BA11</f>
        <v>8776.1118423206826</v>
      </c>
      <c r="BB18" s="365">
        <f>BB10*'LC factor'!H18+'LC factor'!L18*'NG-based'!BB11</f>
        <v>85.178482322099768</v>
      </c>
      <c r="BC18" s="365">
        <f>BC10*'LC factor'!H18+'LC factor'!L18*'NG-based'!BC11</f>
        <v>56987.523777999479</v>
      </c>
      <c r="BD18" s="365"/>
      <c r="BE18" s="40">
        <f>BE7*'LC factor'!E9+BE8*'LC factor'!E10+BE9*'LC factor'!E11+BE10*'LC factor'!E12</f>
        <v>329.58659917207075</v>
      </c>
      <c r="BF18" s="507">
        <v>72600</v>
      </c>
      <c r="BG18" s="438">
        <f>SUM(BA18:BF18)/1000</f>
        <v>138.77840070181432</v>
      </c>
    </row>
    <row r="19" spans="1:59" ht="14.25" thickBot="1">
      <c r="A19" s="41"/>
      <c r="B19" s="42"/>
      <c r="C19" s="454">
        <v>0.1</v>
      </c>
      <c r="D19" s="42" t="s">
        <v>446</v>
      </c>
      <c r="E19" s="42"/>
      <c r="F19" s="42"/>
      <c r="G19" s="43"/>
      <c r="H19" s="374" t="s">
        <v>494</v>
      </c>
      <c r="I19" s="691" t="s">
        <v>1015</v>
      </c>
      <c r="J19" s="534">
        <f>(J10*'LC factor'!H19+'NG-based'!J11*'LC factor'!L19)/1+(72/F5*D5)</f>
        <v>81.407672954467188</v>
      </c>
      <c r="K19" s="373">
        <f>(K10*'LC factor'!H19+K11*'LC factor'!L19)/1</f>
        <v>2.1781169934031439</v>
      </c>
      <c r="L19">
        <v>0</v>
      </c>
      <c r="M19" s="366">
        <f>(J19+K19+L19)/1000</f>
        <v>8.3585789947870331E-2</v>
      </c>
      <c r="N19" s="374" t="s">
        <v>494</v>
      </c>
      <c r="O19" s="365" t="s">
        <v>493</v>
      </c>
      <c r="P19" s="365">
        <f>(P10*'LC factor'!H19+P11*'LC factor'!L19)/1+(72/F5*D5)</f>
        <v>81.417090044511696</v>
      </c>
      <c r="Q19" s="365">
        <f>(Q10*'LC factor'!H19+Q11*'LC factor'!L19)/1</f>
        <v>0.43605945813876762</v>
      </c>
      <c r="R19" s="365">
        <f>(R10*'LC factor'!H19+R11*'LC factor'!L19)/1</f>
        <v>29.929323411761668</v>
      </c>
      <c r="S19" s="371">
        <f>(S10*'LC factor'!H19+S11*'LC factor'!L19)/1</f>
        <v>0</v>
      </c>
      <c r="T19">
        <v>0</v>
      </c>
      <c r="U19" s="438">
        <f t="shared" ref="U19:U20" si="1">SUM(P19:T19)/1000</f>
        <v>0.11178247291441214</v>
      </c>
      <c r="W19" s="374" t="s">
        <v>494</v>
      </c>
      <c r="X19" s="365" t="s">
        <v>493</v>
      </c>
      <c r="Y19" s="365">
        <f>(Y10*'LC factor'!H19+Y11*'LC factor'!L19)/1+(72/F5*D5)</f>
        <v>81.407672954467188</v>
      </c>
      <c r="Z19" s="365">
        <f>(Z10*'LC factor'!H19+Z11*'LC factor'!L19)/1</f>
        <v>11.206383084460368</v>
      </c>
      <c r="AA19" s="365"/>
      <c r="AB19" s="365">
        <f>AB10*'LC factor'!M11+'LC factor'!M9*'NG-based'!AB11</f>
        <v>0.81787748828790086</v>
      </c>
      <c r="AC19" s="371">
        <f>AC10*'LC factor'!M19+'LC factor'!M19*'NG-based'!AC11</f>
        <v>0</v>
      </c>
      <c r="AD19">
        <v>0</v>
      </c>
      <c r="AE19" s="438">
        <f t="shared" ref="AE19:AE20" si="2">SUM(Y19:AD19)/1000</f>
        <v>9.3431933527215461E-2</v>
      </c>
      <c r="AF19" s="412" t="s">
        <v>494</v>
      </c>
      <c r="AG19" s="409" t="s">
        <v>493</v>
      </c>
      <c r="AH19" s="380">
        <f>Y19</f>
        <v>81.407672954467188</v>
      </c>
      <c r="AI19" s="455">
        <f>(AI10*'LC factor'!H19+AI11*'LC factor'!L19)/1</f>
        <v>47.872966301316048</v>
      </c>
      <c r="AJ19" s="409"/>
      <c r="AK19" s="380">
        <f>AC19</f>
        <v>0</v>
      </c>
      <c r="AL19">
        <v>0</v>
      </c>
      <c r="AM19" s="438">
        <f t="shared" ref="AM19:AM20" si="3">SUM(AH19:AL19)/1000</f>
        <v>0.12928063925578323</v>
      </c>
      <c r="AO19" s="412" t="s">
        <v>494</v>
      </c>
      <c r="AP19" s="409" t="s">
        <v>493</v>
      </c>
      <c r="AQ19" s="380">
        <f>AH19</f>
        <v>81.407672954467188</v>
      </c>
      <c r="AR19" s="380">
        <f>D31/D9*K19</f>
        <v>2.1781169934031439</v>
      </c>
      <c r="AS19" s="455">
        <f>(AS10*'LC factor'!H19+AS11*'LC factor'!L19)/1</f>
        <v>47.831981722943759</v>
      </c>
      <c r="AT19" s="409"/>
      <c r="AU19" s="380">
        <f t="shared" si="0"/>
        <v>0</v>
      </c>
      <c r="AV19">
        <v>0</v>
      </c>
      <c r="AW19" s="438">
        <f t="shared" ref="AW19:AW20" si="4">SUM(AQ19:AV19)/1000</f>
        <v>0.13141777167081409</v>
      </c>
      <c r="AY19" s="374" t="s">
        <v>494</v>
      </c>
      <c r="AZ19" s="365" t="s">
        <v>493</v>
      </c>
      <c r="BA19" s="365">
        <f>BA10*'LC factor'!H19+'LC factor'!L19*'NG-based'!BA11+(72/F5*D5)/BC3</f>
        <v>108.54356393928958</v>
      </c>
      <c r="BB19" s="365">
        <f>(BB10*'LC factor'!H19+BB11*'LC factor'!L19)/1</f>
        <v>0.1936103994136128</v>
      </c>
      <c r="BC19" s="365">
        <f>(BC10*'LC factor'!H19+BC11*'LC factor'!L19)/1</f>
        <v>81.451405940845348</v>
      </c>
      <c r="BD19" s="365"/>
      <c r="BE19" s="40">
        <f>BE7*'LC factor'!F9+BE8*'LC factor'!F10+BE9*'LC factor'!F11+BE10*'LC factor'!F12</f>
        <v>1.2617888857874684</v>
      </c>
      <c r="BF19">
        <v>0</v>
      </c>
      <c r="BG19" s="438">
        <f t="shared" ref="BG19:BG20" si="5">SUM(BA19:BF19)/1000</f>
        <v>0.191450369165336</v>
      </c>
    </row>
    <row r="20" spans="1:59">
      <c r="A20" s="39"/>
      <c r="B20" s="35"/>
      <c r="C20" s="35"/>
      <c r="D20" s="35"/>
      <c r="E20" s="35"/>
      <c r="F20" s="35"/>
      <c r="G20" s="40"/>
      <c r="H20" s="39" t="s">
        <v>495</v>
      </c>
      <c r="I20" s="691" t="s">
        <v>1016</v>
      </c>
      <c r="J20" s="372">
        <f>(J10*'LC factor'!H20+J11*'LC factor'!L20)/1000</f>
        <v>1.3830000876391497E-4</v>
      </c>
      <c r="K20" s="373">
        <f>(K10*'LC factor'!H20+K11*'LC factor'!L20)/1000</f>
        <v>1.8826877950371856E-5</v>
      </c>
      <c r="L20">
        <v>0</v>
      </c>
      <c r="M20" s="366">
        <f>(J20+K20+L20)/1000</f>
        <v>1.5712688671428683E-7</v>
      </c>
      <c r="N20" s="39" t="s">
        <v>495</v>
      </c>
      <c r="O20" s="691" t="s">
        <v>1016</v>
      </c>
      <c r="P20" s="365">
        <f>(P10*'LC factor'!H20+P11*'LC factor'!L20)/1000</f>
        <v>1.3843844721112607E-4</v>
      </c>
      <c r="Q20" s="365">
        <f>(Q10*'LC factor'!H20+Q11*'LC factor'!L20)/1000</f>
        <v>3.7691447348091811E-6</v>
      </c>
      <c r="R20" s="365">
        <f>(R10*'LC factor'!H20+R11*'LC factor'!L20)/1000</f>
        <v>1.0164451098454216E-4</v>
      </c>
      <c r="S20" s="371">
        <f>(S10*'LC factor'!H20+S11*'LC factor'!L20)/1000</f>
        <v>0</v>
      </c>
      <c r="T20">
        <v>0</v>
      </c>
      <c r="U20" s="438">
        <f t="shared" si="1"/>
        <v>2.4385210293047745E-7</v>
      </c>
      <c r="W20" s="39" t="s">
        <v>495</v>
      </c>
      <c r="X20" s="691" t="s">
        <v>1016</v>
      </c>
      <c r="Y20" s="365">
        <f>(Y10*'LC factor'!H20+Y11*'LC factor'!L20)/1000</f>
        <v>1.3830000876391497E-4</v>
      </c>
      <c r="Z20" s="365">
        <f>(Z10*'LC factor'!H20+Z11*'LC factor'!L20)/1000</f>
        <v>1.42637580009343E-4</v>
      </c>
      <c r="AA20" s="365"/>
      <c r="AB20" s="365">
        <f>(AB10*'LC factor'!N20+'LC factor'!N20*'NG-based'!AB11)/1000</f>
        <v>0</v>
      </c>
      <c r="AC20" s="371">
        <f>(AC10*'LC factor'!N20+'LC factor'!N20*'NG-based'!AC11)/1000</f>
        <v>0</v>
      </c>
      <c r="AD20">
        <v>0</v>
      </c>
      <c r="AE20" s="438">
        <f t="shared" si="2"/>
        <v>2.8093758877325798E-7</v>
      </c>
      <c r="AF20" s="39" t="s">
        <v>495</v>
      </c>
      <c r="AG20" s="691" t="s">
        <v>1016</v>
      </c>
      <c r="AH20" s="380">
        <f>Y20</f>
        <v>1.3830000876391497E-4</v>
      </c>
      <c r="AI20" s="455">
        <f>(AI10*'LC factor'!H20+AI11*'LC factor'!L20)/1000</f>
        <v>1.6083351313931027E-4</v>
      </c>
      <c r="AJ20" s="409"/>
      <c r="AK20" s="380">
        <f>AC20</f>
        <v>0</v>
      </c>
      <c r="AL20">
        <v>0</v>
      </c>
      <c r="AM20" s="438">
        <f t="shared" si="3"/>
        <v>2.9913352190322519E-7</v>
      </c>
      <c r="AO20" s="39" t="s">
        <v>495</v>
      </c>
      <c r="AP20" s="691" t="s">
        <v>1016</v>
      </c>
      <c r="AQ20" s="380">
        <f>AH20</f>
        <v>1.3830000876391497E-4</v>
      </c>
      <c r="AR20" s="380">
        <f>D31/D9*K20</f>
        <v>1.8826877950371856E-5</v>
      </c>
      <c r="AS20" s="455">
        <f>(AS10*'LC factor'!H20+AS11*'LC factor'!L20)/1000</f>
        <v>1.6069582178167304E-4</v>
      </c>
      <c r="AT20" s="409"/>
      <c r="AU20" s="380">
        <f t="shared" si="0"/>
        <v>0</v>
      </c>
      <c r="AV20">
        <v>0</v>
      </c>
      <c r="AW20" s="438">
        <f t="shared" si="4"/>
        <v>3.1782270849595987E-7</v>
      </c>
      <c r="AY20" s="39" t="s">
        <v>495</v>
      </c>
      <c r="AZ20" s="691" t="s">
        <v>1016</v>
      </c>
      <c r="BA20" s="365">
        <f>(BA10*'LC factor'!H20+BA11*'LC factor'!L20)/1000</f>
        <v>1.8440001168521994E-4</v>
      </c>
      <c r="BB20" s="365">
        <f>(BB10*'LC factor'!H20+BB11*'LC factor'!L20)/1000</f>
        <v>1.6735002622552761E-6</v>
      </c>
      <c r="BC20" s="365">
        <f>(BC10*'LC factor'!H20+BC11*'LC factor'!L20)/1000</f>
        <v>1.1973981461699413E-3</v>
      </c>
      <c r="BD20" s="365"/>
      <c r="BE20" s="40">
        <f>(BE7*'LC factor'!G9+BE8*'LC factor'!G10+BE9*'LC factor'!G11+BE10*'LC factor'!G12)/1000</f>
        <v>6.2466425136648417E-3</v>
      </c>
      <c r="BF20">
        <v>0</v>
      </c>
      <c r="BG20" s="438">
        <f t="shared" si="5"/>
        <v>7.6301141717822577E-6</v>
      </c>
    </row>
    <row r="21" spans="1:59" ht="14.25" thickBot="1">
      <c r="A21" s="468" t="s">
        <v>602</v>
      </c>
      <c r="B21" s="108" t="s">
        <v>659</v>
      </c>
      <c r="C21" s="108"/>
      <c r="D21" s="111">
        <f>'Key Input'!E11</f>
        <v>0.90200000000000002</v>
      </c>
      <c r="E21" s="108"/>
      <c r="F21" s="108"/>
      <c r="G21" s="469"/>
      <c r="H21" s="376" t="s">
        <v>496</v>
      </c>
      <c r="I21" s="376" t="s">
        <v>497</v>
      </c>
      <c r="J21" s="377">
        <f>(J18+J19*25+J20*0.298)/1000</f>
        <v>8.6172757468155936</v>
      </c>
      <c r="K21" s="377">
        <f>(K18+K19*25+K20*0.298)/1000</f>
        <v>1.0127108565691105</v>
      </c>
      <c r="L21" s="377">
        <f>(L18+L19*25+L20*0.298)/1000</f>
        <v>57.122999999999998</v>
      </c>
      <c r="M21" s="366">
        <f>(J21+K21+L21)</f>
        <v>66.752986603384699</v>
      </c>
      <c r="N21" s="375" t="s">
        <v>496</v>
      </c>
      <c r="O21" s="376" t="s">
        <v>497</v>
      </c>
      <c r="P21" s="377">
        <f>(P18+P19*25+P20*0.298)/1000</f>
        <v>8.624099846662256</v>
      </c>
      <c r="Q21" s="377">
        <f>(Q18+Q19*25+Q20*0.298)/1000</f>
        <v>0.2027449162300522</v>
      </c>
      <c r="R21" s="377">
        <f>(R18+R19*25+R20*0.298)/1000</f>
        <v>7.1817853904384101</v>
      </c>
      <c r="S21" s="377">
        <f>(S18+S19*25+S20*0.298)/1000</f>
        <v>0</v>
      </c>
      <c r="T21" s="377">
        <f>(T18+T19*25+T20*0.298)/1000</f>
        <v>57.122999999999998</v>
      </c>
      <c r="U21" s="464">
        <f>P21+Q21+R21+S21+T21</f>
        <v>73.131630153330718</v>
      </c>
      <c r="V21" s="366"/>
      <c r="W21" s="375" t="s">
        <v>496</v>
      </c>
      <c r="X21" s="376" t="s">
        <v>497</v>
      </c>
      <c r="Y21" s="377">
        <f>(Y18+Y19*25+Y20*0.298)/1000</f>
        <v>8.6172757468155936</v>
      </c>
      <c r="Z21" s="377">
        <f>(Z18+Z19*25+Z20*0.298)/1000</f>
        <v>7.1729530273479885</v>
      </c>
      <c r="AA21" s="377"/>
      <c r="AB21" s="377">
        <f>(AB18+AB19*25+AB20*0.298)/1000</f>
        <v>1.9261000635855134</v>
      </c>
      <c r="AC21" s="377">
        <f>(AC18+AC19*25+AC20*0.298)/1000</f>
        <v>0.4816401677656395</v>
      </c>
      <c r="AD21" s="377">
        <f>(AD18+AD19*25+AD20*0.298)/1000</f>
        <v>57.122999999999998</v>
      </c>
      <c r="AE21" s="464">
        <f>Y21+Z21+AB21+AC21+AD21</f>
        <v>75.320969005514741</v>
      </c>
      <c r="AF21" s="375" t="s">
        <v>496</v>
      </c>
      <c r="AG21" s="376" t="s">
        <v>497</v>
      </c>
      <c r="AH21" s="377">
        <f>(AH18+AH19*25+AH20*0.298)/1000</f>
        <v>8.6172757468155936</v>
      </c>
      <c r="AI21" s="377">
        <f>(AI18+AI19*25+AI20*0.298)/1000</f>
        <v>11.412462692643675</v>
      </c>
      <c r="AJ21" s="377"/>
      <c r="AK21" s="377">
        <f>(AK18+AK19*25+AK20*0.298)/1000</f>
        <v>0.4816401677656395</v>
      </c>
      <c r="AL21" s="377">
        <f>(AL18+AL19*25+AL20*0.298)/1000</f>
        <v>57.122999999999998</v>
      </c>
      <c r="AM21" s="464">
        <f>AH21+AI21+AK21+AL21</f>
        <v>77.634378607224903</v>
      </c>
      <c r="AN21" s="366"/>
      <c r="AO21" s="375" t="s">
        <v>496</v>
      </c>
      <c r="AP21" s="376" t="s">
        <v>497</v>
      </c>
      <c r="AQ21" s="380">
        <f>AH21</f>
        <v>8.6172757468155936</v>
      </c>
      <c r="AR21" s="377">
        <f>(AR18+AR19*25+AR20*0.298)/1000</f>
        <v>1.0127108565691105</v>
      </c>
      <c r="AS21" s="377">
        <f>(AS18+AS19*25+AS20*0.298)/1000</f>
        <v>11.402692356527393</v>
      </c>
      <c r="AT21" s="377"/>
      <c r="AU21" s="380">
        <f t="shared" si="0"/>
        <v>0.4816401677656395</v>
      </c>
      <c r="AV21" s="377">
        <f>(AV18+AV19*25+AV20*0.298)/1000</f>
        <v>57.122999999999998</v>
      </c>
      <c r="AW21" s="464">
        <f>AQ21+AR21+AS21+AU21+AV21</f>
        <v>78.637319127677728</v>
      </c>
      <c r="AY21" s="375" t="s">
        <v>496</v>
      </c>
      <c r="AZ21" s="376" t="s">
        <v>497</v>
      </c>
      <c r="BA21" s="377">
        <f>(BA18+BA19*25+BA20*0.298)/1000</f>
        <v>11.489700995754127</v>
      </c>
      <c r="BB21" s="377">
        <f>(BB18+BB19*25+BB20*0.298)/1000</f>
        <v>9.0018742806143165E-2</v>
      </c>
      <c r="BC21" s="377">
        <f>(BC18+BC19*25+BC20*0.298)/1000</f>
        <v>59.023809283345258</v>
      </c>
      <c r="BD21" s="377"/>
      <c r="BE21" s="377">
        <f>(BE18+BE19*25+BE20*0.298)/1000</f>
        <v>0.36113318281622653</v>
      </c>
      <c r="BF21" s="377">
        <f>(BF18+BF19*25+BF20*0.298)/1000</f>
        <v>72.599999999999994</v>
      </c>
      <c r="BG21" s="366">
        <f>BA21+BB21+BC21+BE21+BF21</f>
        <v>143.56466220472174</v>
      </c>
    </row>
    <row r="22" spans="1:59">
      <c r="A22" s="93"/>
      <c r="B22" s="35" t="s">
        <v>445</v>
      </c>
      <c r="C22" s="35"/>
      <c r="D22" s="389" t="s">
        <v>439</v>
      </c>
      <c r="E22" s="457">
        <v>0.98</v>
      </c>
      <c r="F22" s="35"/>
      <c r="G22" s="84"/>
      <c r="J22" s="429">
        <f>J21/M21</f>
        <v>0.12909198801868524</v>
      </c>
      <c r="K22" s="429">
        <f>K21/M21</f>
        <v>1.517101942698338E-2</v>
      </c>
      <c r="L22" s="429">
        <f>L21/M21</f>
        <v>0.85573699255433144</v>
      </c>
      <c r="P22" s="429">
        <f>P21/U21</f>
        <v>0.11792571598063138</v>
      </c>
      <c r="Q22" s="429">
        <f>Q21/U21</f>
        <v>2.7723286873951674E-3</v>
      </c>
      <c r="R22" s="429">
        <f>R21/U21</f>
        <v>9.820354578970536E-2</v>
      </c>
      <c r="S22" s="429">
        <f>S21/U21</f>
        <v>0</v>
      </c>
      <c r="T22" s="429">
        <f>T21/U21</f>
        <v>0.78109840954226806</v>
      </c>
      <c r="Y22" s="459">
        <f>Y21/AE21</f>
        <v>0.11440739359294046</v>
      </c>
      <c r="Z22" s="459">
        <f>Z21/AE21</f>
        <v>9.5231820860175204E-2</v>
      </c>
      <c r="AA22" s="459"/>
      <c r="AB22" s="459">
        <f>AB21/AE21</f>
        <v>2.5571897029690246E-2</v>
      </c>
      <c r="AC22" s="459">
        <f>AC21/AD21</f>
        <v>8.4316329283412907E-3</v>
      </c>
      <c r="AD22" s="459">
        <f>AD21/AE21</f>
        <v>0.75839438544421345</v>
      </c>
      <c r="AG22" s="459"/>
      <c r="AH22" s="459">
        <f>AH21/AM21</f>
        <v>0.11099819308676276</v>
      </c>
      <c r="AI22" s="459">
        <f>AI21/AM21</f>
        <v>0.14700269258781179</v>
      </c>
      <c r="AJ22" s="459"/>
      <c r="AK22" s="459">
        <f>AK21/AM21</f>
        <v>6.203954696441874E-3</v>
      </c>
      <c r="AL22" s="459">
        <f>AL21/AM21</f>
        <v>0.73579515962898356</v>
      </c>
      <c r="AQ22" s="459">
        <f>AQ21/AW21</f>
        <v>0.10958252191716182</v>
      </c>
      <c r="AR22" s="459">
        <f>AR21/AW21</f>
        <v>1.2878247475919737E-2</v>
      </c>
      <c r="AS22" s="459">
        <f>AS21/AW21</f>
        <v>0.14500357442264361</v>
      </c>
      <c r="AT22" s="459"/>
      <c r="AU22" s="459">
        <f>AU21/AW21</f>
        <v>6.1248294462281352E-3</v>
      </c>
      <c r="AV22" s="459">
        <f>AV21/AW21</f>
        <v>0.7264108267380468</v>
      </c>
      <c r="BA22" s="459">
        <f>BA21/BG21</f>
        <v>8.0031539929860535E-2</v>
      </c>
      <c r="BB22" s="459">
        <f>BB21/BG21</f>
        <v>6.2702576959904912E-4</v>
      </c>
      <c r="BC22" s="459">
        <f>BC21/BG21</f>
        <v>0.41113048557296022</v>
      </c>
      <c r="BD22" s="459"/>
      <c r="BE22" s="459">
        <f>BE21/BG21</f>
        <v>2.515474053783892E-3</v>
      </c>
      <c r="BF22" s="459">
        <f>BF21/BG21</f>
        <v>0.50569547467379639</v>
      </c>
    </row>
    <row r="23" spans="1:59">
      <c r="A23" s="93"/>
      <c r="B23" s="35"/>
      <c r="C23" s="35"/>
      <c r="D23" s="389" t="s">
        <v>447</v>
      </c>
      <c r="E23" s="457">
        <f>1-E22</f>
        <v>2.0000000000000018E-2</v>
      </c>
      <c r="F23" s="35"/>
      <c r="G23" s="84"/>
      <c r="AM23" s="465">
        <f>AM21/AE21</f>
        <v>1.0307140180517431</v>
      </c>
    </row>
    <row r="24" spans="1:59">
      <c r="A24" s="93"/>
      <c r="B24" s="455" t="s">
        <v>603</v>
      </c>
      <c r="C24" s="35"/>
      <c r="D24" s="452">
        <f>'Key Input'!E12</f>
        <v>6700</v>
      </c>
      <c r="E24" s="361" t="s">
        <v>449</v>
      </c>
      <c r="F24" s="35" t="s">
        <v>450</v>
      </c>
      <c r="G24" s="84"/>
      <c r="AE24">
        <f>90.4/AE21</f>
        <v>1.2001969862254591</v>
      </c>
      <c r="AM24">
        <f>88.4/AM21</f>
        <v>1.1386708000490549</v>
      </c>
      <c r="AW24">
        <f>89.4/AW21</f>
        <v>1.1368647989493093</v>
      </c>
    </row>
    <row r="25" spans="1:59">
      <c r="A25" s="93"/>
      <c r="B25" s="35"/>
      <c r="C25" s="35"/>
      <c r="D25" s="35"/>
      <c r="E25" s="35"/>
      <c r="F25" s="35"/>
      <c r="G25" s="84"/>
      <c r="AE25">
        <f>74.7/AE21</f>
        <v>0.99175569547612596</v>
      </c>
      <c r="AM25">
        <f>73.5/AM21</f>
        <v>0.94674551814033392</v>
      </c>
      <c r="AW25">
        <f>74.3/AW21</f>
        <v>0.94484401075988433</v>
      </c>
    </row>
    <row r="26" spans="1:59">
      <c r="A26" s="470" t="s">
        <v>604</v>
      </c>
      <c r="B26" s="456" t="s">
        <v>613</v>
      </c>
      <c r="C26" s="35"/>
      <c r="D26" s="35"/>
      <c r="E26" s="35"/>
      <c r="F26" s="35"/>
      <c r="G26" s="84"/>
    </row>
    <row r="27" spans="1:59">
      <c r="A27" s="93"/>
      <c r="B27" s="456" t="s">
        <v>660</v>
      </c>
      <c r="C27" s="35"/>
      <c r="D27" s="64">
        <f>'Key Input'!E13</f>
        <v>0.95185878577159677</v>
      </c>
      <c r="E27" s="35"/>
      <c r="F27" s="35"/>
      <c r="G27" s="84"/>
    </row>
    <row r="28" spans="1:59">
      <c r="A28" s="93"/>
      <c r="B28" s="35" t="s">
        <v>438</v>
      </c>
      <c r="C28" s="35"/>
      <c r="D28" s="389" t="s">
        <v>434</v>
      </c>
      <c r="E28" s="457">
        <v>0</v>
      </c>
      <c r="F28" s="35"/>
      <c r="G28" s="84"/>
    </row>
    <row r="29" spans="1:59">
      <c r="A29" s="93"/>
      <c r="B29" s="35"/>
      <c r="C29" s="35"/>
      <c r="D29" s="389" t="s">
        <v>447</v>
      </c>
      <c r="E29" s="457">
        <f>1-E28</f>
        <v>1</v>
      </c>
      <c r="F29" s="35"/>
      <c r="G29" s="84"/>
    </row>
    <row r="30" spans="1:59">
      <c r="A30" s="93"/>
      <c r="B30" s="35"/>
      <c r="C30" s="35"/>
      <c r="D30" s="35"/>
      <c r="E30" s="35"/>
      <c r="F30" s="35"/>
      <c r="G30" s="84"/>
    </row>
    <row r="31" spans="1:59">
      <c r="A31" s="470" t="s">
        <v>605</v>
      </c>
      <c r="B31" s="456" t="s">
        <v>606</v>
      </c>
      <c r="C31" s="35"/>
      <c r="D31" s="452">
        <f>'Key Input'!E15</f>
        <v>1500</v>
      </c>
      <c r="E31" s="455" t="s">
        <v>607</v>
      </c>
      <c r="F31" s="456" t="s">
        <v>455</v>
      </c>
      <c r="G31" s="84"/>
    </row>
    <row r="32" spans="1:59">
      <c r="A32" s="93"/>
      <c r="B32" s="456" t="s">
        <v>660</v>
      </c>
      <c r="C32" s="35"/>
      <c r="D32" s="64">
        <f>'Key Input'!E14</f>
        <v>0.95189999999999997</v>
      </c>
      <c r="E32" s="35"/>
      <c r="F32" s="35"/>
      <c r="G32" s="84"/>
    </row>
    <row r="33" spans="1:7">
      <c r="A33" s="93"/>
      <c r="B33" s="35" t="s">
        <v>438</v>
      </c>
      <c r="C33" s="35"/>
      <c r="D33" s="389" t="s">
        <v>434</v>
      </c>
      <c r="E33" s="457">
        <v>0</v>
      </c>
      <c r="F33" s="35"/>
      <c r="G33" s="84"/>
    </row>
    <row r="34" spans="1:7">
      <c r="A34" s="470"/>
      <c r="B34" s="35"/>
      <c r="C34" s="35"/>
      <c r="D34" s="389" t="s">
        <v>447</v>
      </c>
      <c r="E34" s="457">
        <f>1-E33</f>
        <v>1</v>
      </c>
      <c r="F34" s="35"/>
      <c r="G34" s="84"/>
    </row>
    <row r="35" spans="1:7">
      <c r="A35" s="93"/>
      <c r="B35" s="35"/>
      <c r="C35" s="35"/>
      <c r="D35" s="35"/>
      <c r="E35" s="35"/>
      <c r="F35" s="35"/>
      <c r="G35" s="84"/>
    </row>
    <row r="36" spans="1:7">
      <c r="A36" s="93" t="s">
        <v>661</v>
      </c>
      <c r="B36" s="506" t="s">
        <v>601</v>
      </c>
      <c r="C36" s="35"/>
      <c r="D36" s="35"/>
      <c r="E36" s="361"/>
      <c r="F36" s="35"/>
      <c r="G36" s="84"/>
    </row>
    <row r="37" spans="1:7">
      <c r="A37" s="470"/>
      <c r="B37" s="455"/>
      <c r="C37" s="35"/>
      <c r="D37" s="452">
        <f>'Key Input'!E16</f>
        <v>100</v>
      </c>
      <c r="E37" s="35" t="s">
        <v>449</v>
      </c>
      <c r="F37" s="35" t="s">
        <v>451</v>
      </c>
      <c r="G37" s="84"/>
    </row>
    <row r="38" spans="1:7">
      <c r="A38" s="93"/>
      <c r="B38" s="35"/>
      <c r="C38" s="35"/>
      <c r="D38" s="35"/>
      <c r="E38" s="35"/>
      <c r="F38" s="35"/>
      <c r="G38" s="84"/>
    </row>
    <row r="39" spans="1:7">
      <c r="A39" s="93"/>
      <c r="B39" s="456" t="s">
        <v>505</v>
      </c>
      <c r="C39" s="455" t="s">
        <v>608</v>
      </c>
      <c r="D39" s="389">
        <v>150</v>
      </c>
      <c r="E39" s="456" t="s">
        <v>471</v>
      </c>
      <c r="F39" s="455" t="s">
        <v>503</v>
      </c>
      <c r="G39" s="84"/>
    </row>
    <row r="40" spans="1:7">
      <c r="A40" s="93"/>
      <c r="B40" s="35"/>
      <c r="C40" s="455" t="s">
        <v>609</v>
      </c>
      <c r="D40" s="389">
        <v>2500</v>
      </c>
      <c r="E40" s="456" t="s">
        <v>471</v>
      </c>
      <c r="F40" s="384" t="s">
        <v>504</v>
      </c>
      <c r="G40" s="84"/>
    </row>
    <row r="41" spans="1:7">
      <c r="A41" s="93"/>
      <c r="B41" s="35"/>
      <c r="C41" s="455" t="s">
        <v>610</v>
      </c>
      <c r="D41" s="389">
        <f>C12</f>
        <v>372</v>
      </c>
      <c r="E41" s="456" t="str">
        <f>D12</f>
        <v>kj/tkm</v>
      </c>
      <c r="F41" s="384"/>
      <c r="G41" s="84"/>
    </row>
    <row r="42" spans="1:7">
      <c r="A42" s="93"/>
      <c r="B42" s="35"/>
      <c r="C42" s="35"/>
      <c r="D42" s="457">
        <f>C10</f>
        <v>0.9</v>
      </c>
      <c r="E42" s="457" t="str">
        <f>D10</f>
        <v>NG</v>
      </c>
      <c r="F42" s="384"/>
      <c r="G42" s="84"/>
    </row>
    <row r="43" spans="1:7">
      <c r="A43" s="101"/>
      <c r="B43" s="102"/>
      <c r="C43" s="102"/>
      <c r="D43" s="471">
        <f>C11</f>
        <v>0.1</v>
      </c>
      <c r="E43" s="471" t="str">
        <f>D11</f>
        <v>electricity</v>
      </c>
      <c r="F43" s="472"/>
      <c r="G43" s="473"/>
    </row>
    <row r="44" spans="1:7" ht="14.25" thickBot="1">
      <c r="A44" s="39"/>
      <c r="B44" s="35"/>
      <c r="C44" s="35"/>
      <c r="D44" s="70"/>
      <c r="E44" s="384"/>
      <c r="F44" s="35"/>
      <c r="G44" s="40"/>
    </row>
    <row r="45" spans="1:7">
      <c r="A45" s="36" t="s">
        <v>448</v>
      </c>
      <c r="B45" s="37" t="s">
        <v>444</v>
      </c>
      <c r="C45" s="37"/>
      <c r="D45" s="449">
        <f>'Key Input'!E18</f>
        <v>0.54200000000000004</v>
      </c>
      <c r="E45" s="37"/>
      <c r="F45" s="37"/>
      <c r="G45" s="38"/>
    </row>
    <row r="46" spans="1:7">
      <c r="A46" s="39"/>
      <c r="B46" s="35" t="s">
        <v>445</v>
      </c>
      <c r="C46" s="35"/>
      <c r="D46" s="35" t="s">
        <v>439</v>
      </c>
      <c r="E46" s="64">
        <v>1</v>
      </c>
      <c r="F46" s="35"/>
      <c r="G46" s="40"/>
    </row>
    <row r="47" spans="1:7">
      <c r="A47" s="39"/>
      <c r="B47" s="538" t="s">
        <v>452</v>
      </c>
      <c r="C47" s="35"/>
      <c r="D47" s="35">
        <v>100</v>
      </c>
      <c r="E47" s="35" t="s">
        <v>449</v>
      </c>
      <c r="F47" s="35" t="s">
        <v>456</v>
      </c>
      <c r="G47" s="40"/>
    </row>
    <row r="48" spans="1:7" ht="14.25" thickBot="1">
      <c r="A48" s="41"/>
      <c r="B48" s="42" t="s">
        <v>453</v>
      </c>
      <c r="C48" s="42"/>
      <c r="D48" s="42" t="s">
        <v>454</v>
      </c>
      <c r="E48" s="376" t="s">
        <v>506</v>
      </c>
      <c r="F48" s="42"/>
      <c r="G48" s="43"/>
    </row>
  </sheetData>
  <phoneticPr fontId="37" type="noConversion"/>
  <pageMargins left="0.7" right="0.7" top="0.75" bottom="0.75" header="0.3" footer="0.3"/>
  <pageSetup paperSize="9" orientation="portrait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W48"/>
  <sheetViews>
    <sheetView zoomScale="80" zoomScaleNormal="80" workbookViewId="0">
      <selection activeCell="AN23" sqref="AN23"/>
    </sheetView>
  </sheetViews>
  <sheetFormatPr defaultRowHeight="13.5"/>
  <cols>
    <col min="4" max="4" width="12.625" customWidth="1"/>
    <col min="10" max="10" width="12.875" bestFit="1" customWidth="1"/>
    <col min="11" max="11" width="11.625" bestFit="1" customWidth="1"/>
    <col min="16" max="16" width="9.5" bestFit="1" customWidth="1"/>
    <col min="17" max="18" width="12.75" bestFit="1" customWidth="1"/>
    <col min="19" max="19" width="9" bestFit="1" customWidth="1"/>
    <col min="20" max="20" width="9" customWidth="1"/>
    <col min="21" max="21" width="9.5" bestFit="1" customWidth="1"/>
    <col min="22" max="22" width="9.5" customWidth="1"/>
    <col min="28" max="29" width="12.75" bestFit="1" customWidth="1"/>
    <col min="30" max="30" width="12.75" customWidth="1"/>
    <col min="31" max="31" width="9.5" bestFit="1" customWidth="1"/>
    <col min="32" max="40" width="9.5" customWidth="1"/>
    <col min="43" max="43" width="9.5" bestFit="1" customWidth="1"/>
    <col min="44" max="44" width="9.5" customWidth="1"/>
    <col min="45" max="45" width="12.75" bestFit="1" customWidth="1"/>
    <col min="49" max="49" width="10.5" bestFit="1" customWidth="1"/>
  </cols>
  <sheetData>
    <row r="1" spans="1:49" ht="14.25" thickBot="1">
      <c r="A1" s="36" t="s">
        <v>457</v>
      </c>
      <c r="B1" s="37" t="s">
        <v>434</v>
      </c>
      <c r="C1" s="37">
        <f>47.7</f>
        <v>47.7</v>
      </c>
      <c r="D1" s="37" t="s">
        <v>458</v>
      </c>
      <c r="E1" s="418" t="s">
        <v>955</v>
      </c>
      <c r="F1" s="37"/>
      <c r="G1" s="38"/>
      <c r="J1" s="453" t="s">
        <v>478</v>
      </c>
      <c r="O1" s="453" t="s">
        <v>498</v>
      </c>
      <c r="W1" s="453" t="s">
        <v>599</v>
      </c>
      <c r="X1" t="str">
        <f>'fuel summary'!$C$34</f>
        <v>进口LNG</v>
      </c>
      <c r="AF1" s="453" t="s">
        <v>600</v>
      </c>
      <c r="AG1" t="str">
        <f>'fuel summary'!$C$47</f>
        <v>国产气田产LNG</v>
      </c>
      <c r="AO1" s="453" t="s">
        <v>612</v>
      </c>
      <c r="AP1" t="str">
        <f>'fuel summary'!$C$60</f>
        <v>管输气产LNG</v>
      </c>
    </row>
    <row r="2" spans="1:49">
      <c r="A2" s="39"/>
      <c r="B2" s="35" t="s">
        <v>448</v>
      </c>
      <c r="C2" s="35">
        <v>40.99</v>
      </c>
      <c r="D2" s="35" t="s">
        <v>458</v>
      </c>
      <c r="E2" s="35"/>
      <c r="F2" s="35"/>
      <c r="G2" s="40"/>
      <c r="H2" s="36"/>
      <c r="I2" s="37"/>
      <c r="J2" s="458" t="s">
        <v>460</v>
      </c>
      <c r="K2" s="416" t="s">
        <v>461</v>
      </c>
      <c r="L2" s="477" t="s">
        <v>510</v>
      </c>
      <c r="N2" s="36"/>
      <c r="O2" s="37"/>
      <c r="P2" s="458" t="s">
        <v>460</v>
      </c>
      <c r="Q2" s="458" t="s">
        <v>461</v>
      </c>
      <c r="R2" s="458" t="s">
        <v>462</v>
      </c>
      <c r="S2" s="416" t="s">
        <v>511</v>
      </c>
      <c r="T2" s="477" t="s">
        <v>510</v>
      </c>
      <c r="W2" s="36"/>
      <c r="X2" s="37"/>
      <c r="Y2" s="458" t="s">
        <v>460</v>
      </c>
      <c r="Z2" s="458" t="s">
        <v>499</v>
      </c>
      <c r="AA2" s="458"/>
      <c r="AB2" s="458" t="s">
        <v>500</v>
      </c>
      <c r="AC2" s="416" t="s">
        <v>501</v>
      </c>
      <c r="AD2" s="477" t="s">
        <v>510</v>
      </c>
      <c r="AF2" s="36"/>
      <c r="AG2" s="37"/>
      <c r="AH2" s="458" t="s">
        <v>460</v>
      </c>
      <c r="AI2" s="458" t="s">
        <v>499</v>
      </c>
      <c r="AJ2" s="458"/>
      <c r="AK2" s="416" t="s">
        <v>501</v>
      </c>
      <c r="AL2" s="477" t="s">
        <v>510</v>
      </c>
      <c r="AO2" s="36"/>
      <c r="AP2" s="37"/>
      <c r="AQ2" s="458" t="s">
        <v>460</v>
      </c>
      <c r="AR2" s="458" t="s">
        <v>611</v>
      </c>
      <c r="AS2" s="458" t="s">
        <v>499</v>
      </c>
      <c r="AT2" s="458"/>
      <c r="AU2" s="416" t="s">
        <v>501</v>
      </c>
      <c r="AV2" s="477" t="s">
        <v>510</v>
      </c>
    </row>
    <row r="3" spans="1:49" ht="14.25" thickBot="1">
      <c r="A3" s="39"/>
      <c r="B3" s="35"/>
      <c r="C3" s="35"/>
      <c r="D3" s="35"/>
      <c r="E3" s="35"/>
      <c r="F3" s="35"/>
      <c r="G3" s="40"/>
      <c r="H3" s="39"/>
      <c r="I3" s="478" t="s">
        <v>482</v>
      </c>
      <c r="J3" s="35">
        <v>1</v>
      </c>
      <c r="K3" s="40">
        <v>1</v>
      </c>
      <c r="N3" s="39"/>
      <c r="O3" s="35"/>
      <c r="P3" s="35">
        <v>1</v>
      </c>
      <c r="Q3" s="35">
        <v>1</v>
      </c>
      <c r="R3" s="378">
        <f>1-D15</f>
        <v>0.999</v>
      </c>
      <c r="S3" s="40">
        <v>1</v>
      </c>
      <c r="W3" s="39"/>
      <c r="X3" s="35"/>
      <c r="Y3" s="35">
        <v>1</v>
      </c>
      <c r="Z3" s="35">
        <v>1</v>
      </c>
      <c r="AA3" s="35"/>
      <c r="AB3" s="378">
        <v>1</v>
      </c>
      <c r="AC3" s="40">
        <v>1</v>
      </c>
      <c r="AF3" s="39"/>
      <c r="AG3" s="35"/>
      <c r="AH3" s="35">
        <v>1</v>
      </c>
      <c r="AI3" s="35">
        <v>1</v>
      </c>
      <c r="AJ3" s="35"/>
      <c r="AK3" s="40">
        <v>1</v>
      </c>
      <c r="AO3" s="39"/>
      <c r="AP3" s="35"/>
      <c r="AQ3" s="35">
        <v>1</v>
      </c>
      <c r="AR3" s="35">
        <v>1</v>
      </c>
      <c r="AS3" s="35">
        <v>1</v>
      </c>
      <c r="AT3" s="35"/>
      <c r="AU3" s="40">
        <v>1</v>
      </c>
    </row>
    <row r="4" spans="1:49" ht="14.25" thickBot="1">
      <c r="A4" s="36" t="s">
        <v>434</v>
      </c>
      <c r="B4" s="37" t="s">
        <v>436</v>
      </c>
      <c r="C4" s="37"/>
      <c r="D4" s="414">
        <f>'Key Input'!E4</f>
        <v>0.96</v>
      </c>
      <c r="E4" s="37"/>
      <c r="F4" s="37"/>
      <c r="G4" s="38"/>
      <c r="H4" s="39"/>
      <c r="I4" s="478" t="s">
        <v>464</v>
      </c>
      <c r="J4" s="478" t="s">
        <v>463</v>
      </c>
      <c r="K4" s="371" t="s">
        <v>465</v>
      </c>
      <c r="N4" s="39"/>
      <c r="O4" s="478" t="s">
        <v>464</v>
      </c>
      <c r="P4" s="478" t="s">
        <v>463</v>
      </c>
      <c r="Q4" s="478" t="s">
        <v>465</v>
      </c>
      <c r="R4" s="456" t="s">
        <v>466</v>
      </c>
      <c r="S4" s="379" t="s">
        <v>479</v>
      </c>
      <c r="W4" s="39"/>
      <c r="X4" s="478" t="s">
        <v>464</v>
      </c>
      <c r="Y4" s="478" t="s">
        <v>463</v>
      </c>
      <c r="Z4" s="478" t="s">
        <v>466</v>
      </c>
      <c r="AA4" s="478"/>
      <c r="AB4" s="456" t="s">
        <v>466</v>
      </c>
      <c r="AC4" s="379" t="s">
        <v>479</v>
      </c>
      <c r="AF4" s="39"/>
      <c r="AG4" s="478" t="s">
        <v>464</v>
      </c>
      <c r="AH4" s="478" t="s">
        <v>463</v>
      </c>
      <c r="AI4" s="478" t="s">
        <v>466</v>
      </c>
      <c r="AJ4" s="478"/>
      <c r="AK4" s="379" t="s">
        <v>479</v>
      </c>
      <c r="AO4" s="39"/>
      <c r="AP4" s="478" t="s">
        <v>464</v>
      </c>
      <c r="AQ4" s="478" t="s">
        <v>463</v>
      </c>
      <c r="AR4" s="478" t="s">
        <v>614</v>
      </c>
      <c r="AS4" s="478" t="s">
        <v>466</v>
      </c>
      <c r="AT4" s="478"/>
      <c r="AU4" s="379" t="s">
        <v>479</v>
      </c>
    </row>
    <row r="5" spans="1:49" ht="14.25" thickBot="1">
      <c r="A5" s="39"/>
      <c r="B5" s="35" t="str">
        <f>'Key Input'!B6</f>
        <v>NG开采CH4逸散比例</v>
      </c>
      <c r="C5" s="35"/>
      <c r="D5" s="449">
        <f>'Key Input'!E6</f>
        <v>3.4344000000000002E-3</v>
      </c>
      <c r="E5" s="35" t="s">
        <v>650</v>
      </c>
      <c r="F5" s="449">
        <f>0.072*47.7/1000</f>
        <v>3.4344000000000002E-3</v>
      </c>
      <c r="G5" s="40"/>
      <c r="H5" s="39"/>
      <c r="I5" s="478"/>
      <c r="J5" s="478"/>
      <c r="K5" s="371"/>
      <c r="N5" s="39"/>
      <c r="O5" s="478"/>
      <c r="P5" s="478"/>
      <c r="Q5" s="478"/>
      <c r="R5" s="456"/>
      <c r="S5" s="379"/>
      <c r="W5" s="39"/>
      <c r="X5" s="478"/>
      <c r="Y5" s="478"/>
      <c r="Z5" s="478"/>
      <c r="AA5" s="478"/>
      <c r="AB5" s="456"/>
      <c r="AC5" s="379"/>
      <c r="AF5" s="39"/>
      <c r="AG5" s="478"/>
      <c r="AH5" s="478"/>
      <c r="AI5" s="478"/>
      <c r="AJ5" s="478"/>
      <c r="AK5" s="379"/>
      <c r="AO5" s="39"/>
      <c r="AP5" s="478"/>
      <c r="AQ5" s="478"/>
      <c r="AR5" s="478"/>
      <c r="AS5" s="478"/>
      <c r="AT5" s="478"/>
      <c r="AU5" s="379"/>
    </row>
    <row r="6" spans="1:49">
      <c r="A6" s="39"/>
      <c r="B6" s="35" t="s">
        <v>435</v>
      </c>
      <c r="C6" s="35"/>
      <c r="D6" s="414">
        <f>'Key Input'!E5</f>
        <v>0.94</v>
      </c>
      <c r="E6" s="35"/>
      <c r="F6" s="35"/>
      <c r="G6" s="40"/>
      <c r="H6" s="39"/>
      <c r="I6" s="478" t="s">
        <v>467</v>
      </c>
      <c r="J6" s="478" t="s">
        <v>472</v>
      </c>
      <c r="K6" s="371" t="s">
        <v>474</v>
      </c>
      <c r="N6" s="39"/>
      <c r="O6" s="478" t="s">
        <v>467</v>
      </c>
      <c r="P6" s="478" t="s">
        <v>472</v>
      </c>
      <c r="Q6" s="478" t="s">
        <v>474</v>
      </c>
      <c r="R6" s="456" t="s">
        <v>472</v>
      </c>
      <c r="S6" s="379" t="s">
        <v>472</v>
      </c>
      <c r="W6" s="39"/>
      <c r="X6" s="478" t="s">
        <v>467</v>
      </c>
      <c r="Y6" s="478" t="s">
        <v>472</v>
      </c>
      <c r="Z6" s="478" t="s">
        <v>474</v>
      </c>
      <c r="AA6" s="478"/>
      <c r="AB6" s="456" t="s">
        <v>472</v>
      </c>
      <c r="AC6" s="379" t="s">
        <v>472</v>
      </c>
      <c r="AF6" s="39"/>
      <c r="AG6" s="478" t="s">
        <v>467</v>
      </c>
      <c r="AH6" s="478" t="s">
        <v>472</v>
      </c>
      <c r="AI6" s="478" t="s">
        <v>474</v>
      </c>
      <c r="AJ6" s="478"/>
      <c r="AK6" s="379" t="s">
        <v>472</v>
      </c>
      <c r="AO6" s="39"/>
      <c r="AP6" s="478" t="s">
        <v>467</v>
      </c>
      <c r="AQ6" s="478" t="s">
        <v>472</v>
      </c>
      <c r="AR6" s="478"/>
      <c r="AS6" s="478" t="s">
        <v>474</v>
      </c>
      <c r="AT6" s="478"/>
      <c r="AU6" s="379" t="s">
        <v>472</v>
      </c>
    </row>
    <row r="7" spans="1:49">
      <c r="A7" s="39"/>
      <c r="B7" s="35" t="s">
        <v>437</v>
      </c>
      <c r="C7" s="35"/>
      <c r="D7" s="362">
        <f>D4*D6</f>
        <v>0.90239999999999987</v>
      </c>
      <c r="E7" s="35"/>
      <c r="F7" s="35"/>
      <c r="G7" s="40"/>
      <c r="H7" s="39"/>
      <c r="I7" s="478" t="s">
        <v>468</v>
      </c>
      <c r="J7" s="372">
        <f>(1-D7)*E8*1000</f>
        <v>97.600000000000136</v>
      </c>
      <c r="K7" s="373">
        <f>D9*C12/47.7/1000*C10</f>
        <v>10.528301886792452</v>
      </c>
      <c r="N7" s="39"/>
      <c r="O7" s="478" t="s">
        <v>468</v>
      </c>
      <c r="P7" s="380">
        <f>J7</f>
        <v>97.600000000000136</v>
      </c>
      <c r="Q7" s="381">
        <f>D17*C12/47.7/1000*C10</f>
        <v>2.1056603773584905</v>
      </c>
      <c r="R7" s="380">
        <f>D15/(1-D15)*1000</f>
        <v>1.0010010010010011</v>
      </c>
      <c r="S7" s="40">
        <v>0</v>
      </c>
      <c r="W7" s="39"/>
      <c r="X7" s="478" t="s">
        <v>468</v>
      </c>
      <c r="Y7" s="380">
        <f>P7</f>
        <v>97.600000000000136</v>
      </c>
      <c r="Z7" s="381">
        <f>(1-D21)*E22*1000</f>
        <v>0</v>
      </c>
      <c r="AA7" s="381" t="s">
        <v>503</v>
      </c>
      <c r="AB7" s="380">
        <f>D39*D24/C1/1000</f>
        <v>21.069182389937104</v>
      </c>
      <c r="AC7" s="40"/>
      <c r="AF7" s="39"/>
      <c r="AG7" s="478" t="s">
        <v>468</v>
      </c>
      <c r="AH7" s="380">
        <f>Y7</f>
        <v>97.600000000000136</v>
      </c>
      <c r="AI7" s="380">
        <f>(1-D27)*E28*1000</f>
        <v>96.039999999999978</v>
      </c>
      <c r="AJ7" s="381" t="s">
        <v>503</v>
      </c>
      <c r="AK7" s="40"/>
      <c r="AO7" s="39"/>
      <c r="AP7" s="478" t="s">
        <v>468</v>
      </c>
      <c r="AQ7" s="380">
        <f>AH7</f>
        <v>97.600000000000136</v>
      </c>
      <c r="AR7" s="380">
        <f>D31/D9*K7</f>
        <v>10.528301886792452</v>
      </c>
      <c r="AS7" s="380">
        <f>(1-D32)*E33*1000</f>
        <v>96.039999999999978</v>
      </c>
      <c r="AT7" s="381" t="s">
        <v>503</v>
      </c>
      <c r="AU7" s="40"/>
    </row>
    <row r="8" spans="1:49">
      <c r="A8" s="39"/>
      <c r="B8" s="35" t="s">
        <v>438</v>
      </c>
      <c r="C8" s="35"/>
      <c r="D8" s="35" t="s">
        <v>434</v>
      </c>
      <c r="E8" s="361">
        <v>1</v>
      </c>
      <c r="F8" s="478" t="s">
        <v>469</v>
      </c>
      <c r="G8" s="40"/>
      <c r="H8" s="39"/>
      <c r="I8" s="478" t="s">
        <v>473</v>
      </c>
      <c r="J8" s="372"/>
      <c r="K8" s="373">
        <f>D9*C12/47.7/1000*C11</f>
        <v>1.1698113207547169</v>
      </c>
      <c r="N8" s="39"/>
      <c r="O8" s="478" t="s">
        <v>473</v>
      </c>
      <c r="P8" s="380"/>
      <c r="Q8" s="381">
        <f>D17*C12/47.7/1000*C11</f>
        <v>0.2339622641509434</v>
      </c>
      <c r="R8" s="380">
        <f>D16*1000</f>
        <v>29.999999999999915</v>
      </c>
      <c r="S8" s="40">
        <v>0</v>
      </c>
      <c r="W8" s="39"/>
      <c r="X8" s="478" t="s">
        <v>473</v>
      </c>
      <c r="Y8" s="380"/>
      <c r="Z8" s="539">
        <f>(1-D21)*E23*1000</f>
        <v>48.000000000000043</v>
      </c>
      <c r="AA8" s="381" t="s">
        <v>504</v>
      </c>
      <c r="AB8" s="380"/>
      <c r="AC8" s="380">
        <f>D40*D37/C1/1000</f>
        <v>5.2410901467505235</v>
      </c>
      <c r="AF8" s="39"/>
      <c r="AG8" s="478" t="s">
        <v>473</v>
      </c>
      <c r="AH8" s="380"/>
      <c r="AI8" s="380">
        <f>(1-D27)*E29*1000</f>
        <v>1.9600000000000013</v>
      </c>
      <c r="AJ8" s="381" t="s">
        <v>504</v>
      </c>
      <c r="AK8" s="380">
        <f>AC8</f>
        <v>5.2410901467505235</v>
      </c>
      <c r="AO8" s="39"/>
      <c r="AP8" s="478" t="s">
        <v>473</v>
      </c>
      <c r="AQ8" s="380"/>
      <c r="AR8" s="380">
        <f>D31/D9*K8</f>
        <v>1.1698113207547169</v>
      </c>
      <c r="AS8" s="380">
        <f>(1-D32)*E34*1000</f>
        <v>1.9600000000000013</v>
      </c>
      <c r="AT8" s="381" t="s">
        <v>504</v>
      </c>
      <c r="AU8" s="380">
        <f>AK8</f>
        <v>5.2410901467505235</v>
      </c>
    </row>
    <row r="9" spans="1:49">
      <c r="A9" s="39"/>
      <c r="B9" s="478" t="s">
        <v>477</v>
      </c>
      <c r="C9" s="35"/>
      <c r="D9" s="452">
        <v>1500</v>
      </c>
      <c r="E9" s="35" t="s">
        <v>449</v>
      </c>
      <c r="F9" s="35" t="s">
        <v>455</v>
      </c>
      <c r="G9" s="40"/>
      <c r="H9" s="39"/>
      <c r="I9" s="478" t="s">
        <v>483</v>
      </c>
      <c r="J9" s="372"/>
      <c r="K9" s="373"/>
      <c r="N9" s="39"/>
      <c r="O9" s="478" t="s">
        <v>483</v>
      </c>
      <c r="P9" s="35"/>
      <c r="Q9" s="35"/>
      <c r="R9" s="35"/>
      <c r="S9" s="40"/>
      <c r="W9" s="39"/>
      <c r="X9" s="478" t="s">
        <v>483</v>
      </c>
      <c r="Y9" s="35"/>
      <c r="Z9" s="35"/>
      <c r="AA9" s="35"/>
      <c r="AB9" s="35"/>
      <c r="AC9" s="40"/>
      <c r="AF9" s="39"/>
      <c r="AG9" s="478" t="s">
        <v>483</v>
      </c>
      <c r="AH9" s="35"/>
      <c r="AI9" s="35"/>
      <c r="AJ9" s="35"/>
      <c r="AK9" s="35"/>
      <c r="AO9" s="39"/>
      <c r="AP9" s="478" t="s">
        <v>483</v>
      </c>
      <c r="AQ9" s="35"/>
      <c r="AR9" s="35"/>
      <c r="AS9" s="35"/>
      <c r="AT9" s="35"/>
      <c r="AU9" s="380"/>
    </row>
    <row r="10" spans="1:49">
      <c r="A10" s="39"/>
      <c r="B10" s="35"/>
      <c r="C10" s="361">
        <v>0.9</v>
      </c>
      <c r="D10" s="35" t="s">
        <v>434</v>
      </c>
      <c r="E10" s="35"/>
      <c r="F10" s="35"/>
      <c r="G10" s="40"/>
      <c r="H10" s="39"/>
      <c r="I10" s="35" t="str">
        <f>I7</f>
        <v>NG</v>
      </c>
      <c r="J10" s="372">
        <f>J7/K3</f>
        <v>97.600000000000136</v>
      </c>
      <c r="K10" s="373">
        <f>K7</f>
        <v>10.528301886792452</v>
      </c>
      <c r="N10" s="382"/>
      <c r="O10" s="478" t="s">
        <v>434</v>
      </c>
      <c r="P10" s="380">
        <f>P7/Q3/R3/S3</f>
        <v>97.697697697697834</v>
      </c>
      <c r="Q10" s="380">
        <f>Q7/R3/S3</f>
        <v>2.1077681455039947</v>
      </c>
      <c r="R10" s="380">
        <f>R7/S3</f>
        <v>1.0010010010010011</v>
      </c>
      <c r="S10" s="383">
        <f>S7</f>
        <v>0</v>
      </c>
      <c r="W10" s="382"/>
      <c r="X10" s="478" t="s">
        <v>434</v>
      </c>
      <c r="Y10" s="380">
        <f>Y7/Z3/AB3/AC3</f>
        <v>97.600000000000136</v>
      </c>
      <c r="Z10" s="380">
        <f>Z7/AB3/AC3</f>
        <v>0</v>
      </c>
      <c r="AA10" s="381" t="s">
        <v>503</v>
      </c>
      <c r="AB10" s="380">
        <f>AB7/AC3</f>
        <v>21.069182389937104</v>
      </c>
      <c r="AC10" s="383">
        <f>AC7</f>
        <v>0</v>
      </c>
      <c r="AF10" s="382"/>
      <c r="AG10" s="478" t="s">
        <v>434</v>
      </c>
      <c r="AH10" s="380">
        <f>Y10</f>
        <v>97.600000000000136</v>
      </c>
      <c r="AI10" s="380">
        <f>AI7/AK3</f>
        <v>96.039999999999978</v>
      </c>
      <c r="AJ10" s="381" t="s">
        <v>503</v>
      </c>
      <c r="AK10" s="380">
        <f>AC10</f>
        <v>0</v>
      </c>
      <c r="AO10" s="382"/>
      <c r="AP10" s="478" t="s">
        <v>434</v>
      </c>
      <c r="AQ10" s="380">
        <f>AH10</f>
        <v>97.600000000000136</v>
      </c>
      <c r="AR10" s="380">
        <f>D31/D9*K10</f>
        <v>10.528301886792452</v>
      </c>
      <c r="AS10" s="380">
        <f>AS7/AU3</f>
        <v>96.039999999999978</v>
      </c>
      <c r="AT10" s="381" t="s">
        <v>503</v>
      </c>
      <c r="AU10" s="380">
        <f t="shared" ref="AU10:AU16" si="0">AK10</f>
        <v>0</v>
      </c>
    </row>
    <row r="11" spans="1:49">
      <c r="A11" s="39"/>
      <c r="B11" s="35"/>
      <c r="C11" s="361">
        <v>0.1</v>
      </c>
      <c r="D11" s="35" t="s">
        <v>446</v>
      </c>
      <c r="E11" s="35"/>
      <c r="F11" s="35"/>
      <c r="G11" s="40"/>
      <c r="H11" s="39"/>
      <c r="I11" s="35" t="str">
        <f>I8</f>
        <v>电</v>
      </c>
      <c r="J11" s="372">
        <f>J8/K3</f>
        <v>0</v>
      </c>
      <c r="K11" s="373">
        <f>K8</f>
        <v>1.1698113207547169</v>
      </c>
      <c r="N11" s="382"/>
      <c r="O11" s="478" t="s">
        <v>473</v>
      </c>
      <c r="P11" s="380">
        <f>P8/Q3/R3/S3</f>
        <v>0</v>
      </c>
      <c r="Q11" s="380">
        <f>Q8/R3/S3</f>
        <v>0.23419646061155497</v>
      </c>
      <c r="R11" s="380">
        <f>R8/S3</f>
        <v>29.999999999999915</v>
      </c>
      <c r="S11" s="383">
        <f>S8</f>
        <v>0</v>
      </c>
      <c r="W11" s="382"/>
      <c r="X11" s="478" t="s">
        <v>473</v>
      </c>
      <c r="Y11" s="380">
        <f>Y8/Z3/AB3/AC3</f>
        <v>0</v>
      </c>
      <c r="Z11" s="380">
        <f>Z8/AB3/AC3</f>
        <v>48.000000000000043</v>
      </c>
      <c r="AA11" s="381" t="s">
        <v>504</v>
      </c>
      <c r="AB11" s="380">
        <f>AB8/AC3</f>
        <v>0</v>
      </c>
      <c r="AC11" s="383">
        <f>AC8</f>
        <v>5.2410901467505235</v>
      </c>
      <c r="AF11" s="382"/>
      <c r="AG11" s="478" t="s">
        <v>473</v>
      </c>
      <c r="AH11" s="380">
        <f>Y11</f>
        <v>0</v>
      </c>
      <c r="AI11" s="380">
        <f>AI8/AK3</f>
        <v>1.9600000000000013</v>
      </c>
      <c r="AJ11" s="381" t="s">
        <v>504</v>
      </c>
      <c r="AK11" s="380">
        <f>AC11</f>
        <v>5.2410901467505235</v>
      </c>
      <c r="AO11" s="382"/>
      <c r="AP11" s="478" t="s">
        <v>473</v>
      </c>
      <c r="AQ11" s="380">
        <f>AH11</f>
        <v>0</v>
      </c>
      <c r="AR11" s="380">
        <f>D31/D9*K11</f>
        <v>1.1698113207547169</v>
      </c>
      <c r="AS11" s="380">
        <f>AS8/AU3</f>
        <v>1.9600000000000013</v>
      </c>
      <c r="AT11" s="381" t="s">
        <v>504</v>
      </c>
      <c r="AU11" s="380">
        <f t="shared" si="0"/>
        <v>5.2410901467505235</v>
      </c>
    </row>
    <row r="12" spans="1:49" ht="14.25" thickBot="1">
      <c r="A12" s="41"/>
      <c r="B12" s="451" t="s">
        <v>470</v>
      </c>
      <c r="C12" s="450">
        <v>372</v>
      </c>
      <c r="D12" s="451" t="s">
        <v>471</v>
      </c>
      <c r="E12" s="42"/>
      <c r="F12" s="42"/>
      <c r="G12" s="43"/>
      <c r="H12" s="39"/>
      <c r="I12" s="35"/>
      <c r="J12" s="372"/>
      <c r="K12" s="373"/>
      <c r="N12" s="382"/>
      <c r="O12" s="35"/>
      <c r="P12" s="35"/>
      <c r="Q12" s="35"/>
      <c r="R12" s="35"/>
      <c r="S12" s="40"/>
      <c r="W12" s="382"/>
      <c r="X12" s="35"/>
      <c r="Y12" s="35"/>
      <c r="Z12" s="35"/>
      <c r="AA12" s="35"/>
      <c r="AB12" s="35"/>
      <c r="AC12" s="40"/>
      <c r="AF12" s="382"/>
      <c r="AG12" s="35"/>
      <c r="AH12" s="35"/>
      <c r="AI12" s="35"/>
      <c r="AJ12" s="35"/>
      <c r="AK12" s="35"/>
      <c r="AO12" s="382"/>
      <c r="AP12" s="35"/>
      <c r="AQ12" s="35"/>
      <c r="AR12" s="35"/>
      <c r="AS12" s="35"/>
      <c r="AT12" s="35"/>
      <c r="AU12" s="380"/>
    </row>
    <row r="13" spans="1:49" ht="14.25" thickBot="1">
      <c r="A13" s="39"/>
      <c r="B13" s="35"/>
      <c r="C13" s="35"/>
      <c r="D13" s="35"/>
      <c r="E13" s="35"/>
      <c r="F13" s="35"/>
      <c r="G13" s="40"/>
      <c r="H13" s="412" t="s">
        <v>487</v>
      </c>
      <c r="I13" s="478" t="s">
        <v>492</v>
      </c>
      <c r="J13" s="372">
        <f>J10*'LC factor'!H15+'NG-based (+1)'!J11*'LC factor'!L15</f>
        <v>4.4367237047770356</v>
      </c>
      <c r="K13" s="373">
        <f>K10*'LC factor'!H15+K11*'LC factor'!L15</f>
        <v>3.2947116843928073</v>
      </c>
      <c r="L13">
        <v>0</v>
      </c>
      <c r="M13" s="366">
        <f>(J13+K13+L13)/1000</f>
        <v>7.7314353891698422E-3</v>
      </c>
      <c r="N13" s="412" t="s">
        <v>487</v>
      </c>
      <c r="O13" s="478" t="s">
        <v>492</v>
      </c>
      <c r="P13" s="35">
        <f>P10*'LC factor'!H15+P11*'LC factor'!L15</f>
        <v>4.4411648696466823</v>
      </c>
      <c r="Q13" s="35">
        <f>Q10*'LC factor'!B8+Q11*'LC factor'!B12</f>
        <v>0.65960193881737883</v>
      </c>
      <c r="R13" s="35">
        <f>R10*'LC factor'!B8+R11*'LC factor'!B12</f>
        <v>72.265192926157269</v>
      </c>
      <c r="S13" s="40">
        <f>S10*'LC factor'!B8+S11*'LC factor'!B12</f>
        <v>0</v>
      </c>
      <c r="T13">
        <v>0</v>
      </c>
      <c r="U13" s="366">
        <f>P13+Q13+R13+S13+T13</f>
        <v>77.365959734621327</v>
      </c>
      <c r="V13" s="366"/>
      <c r="W13" s="412" t="s">
        <v>487</v>
      </c>
      <c r="X13" s="478" t="s">
        <v>492</v>
      </c>
      <c r="Y13" s="35">
        <f>Y10*'LC factor'!B8+Y11*'LC factor'!B12</f>
        <v>4.4367237047770356</v>
      </c>
      <c r="Z13" s="35">
        <f>Z10*'LC factor'!B8+Z11*'LC factor'!B12</f>
        <v>115.55150270038243</v>
      </c>
      <c r="AA13" s="35"/>
      <c r="AB13" s="35">
        <f>AB10*'LC factor'!B11+'LC factor'!B9*'NG-based (+1)'!AB11</f>
        <v>1.2066904095051141</v>
      </c>
      <c r="AC13" s="40">
        <f>AC10*'LC factor'!B11+'LC factor'!B9*'NG-based (+1)'!AC11</f>
        <v>0.37885787892179007</v>
      </c>
      <c r="AD13">
        <v>0</v>
      </c>
      <c r="AE13" s="366">
        <f>Y13+Z13+AB13+AC13+AD13</f>
        <v>121.57377469358637</v>
      </c>
      <c r="AF13" s="412" t="s">
        <v>487</v>
      </c>
      <c r="AG13" s="478" t="s">
        <v>492</v>
      </c>
      <c r="AH13" s="380">
        <f>Y13</f>
        <v>4.4367237047770356</v>
      </c>
      <c r="AI13" s="35">
        <f>AI10*'LC factor'!B8+AI11*'LC factor'!B12</f>
        <v>9.0841618856083652</v>
      </c>
      <c r="AJ13" s="35"/>
      <c r="AK13" s="380">
        <f>AC13</f>
        <v>0.37885787892179007</v>
      </c>
      <c r="AL13">
        <v>0</v>
      </c>
      <c r="AM13" s="366">
        <f>AH13+AI13+AK13+AL13</f>
        <v>13.899743469307191</v>
      </c>
      <c r="AN13" s="366"/>
      <c r="AO13" s="412" t="s">
        <v>487</v>
      </c>
      <c r="AP13" s="478" t="s">
        <v>492</v>
      </c>
      <c r="AQ13" s="380">
        <f>AH13</f>
        <v>4.4367237047770356</v>
      </c>
      <c r="AR13" s="380">
        <f>D31/D9*K13</f>
        <v>3.2947116843928073</v>
      </c>
      <c r="AS13" s="35">
        <f>AS10*'LC factor'!B8+AS11*'LC factor'!B12</f>
        <v>9.0841618856083652</v>
      </c>
      <c r="AT13" s="35"/>
      <c r="AU13" s="380">
        <f t="shared" si="0"/>
        <v>0.37885787892179007</v>
      </c>
      <c r="AV13">
        <v>0</v>
      </c>
      <c r="AW13" s="366">
        <f>AQ13+AR13+AS13+AU13+AV13</f>
        <v>17.194455153699995</v>
      </c>
    </row>
    <row r="14" spans="1:49">
      <c r="A14" s="36" t="s">
        <v>440</v>
      </c>
      <c r="B14" s="37" t="s">
        <v>441</v>
      </c>
      <c r="C14" s="37"/>
      <c r="D14" s="449">
        <f>'Key Input'!E9</f>
        <v>0.96900000000000008</v>
      </c>
      <c r="E14" s="37"/>
      <c r="F14" s="37"/>
      <c r="G14" s="38"/>
      <c r="H14" s="412" t="s">
        <v>488</v>
      </c>
      <c r="I14" s="478" t="s">
        <v>492</v>
      </c>
      <c r="J14" s="372">
        <f>J10*'LC factor'!H16+'NG-based (+1)'!J11*'LC factor'!L16</f>
        <v>103.26319429789575</v>
      </c>
      <c r="K14" s="373">
        <f>K10*'LC factor'!H16+K11*'LC factor'!L16</f>
        <v>11.358165075942514</v>
      </c>
      <c r="L14">
        <v>1000</v>
      </c>
      <c r="M14" s="366">
        <f>(J14+K14+L14)/1000</f>
        <v>1.1146213593738383</v>
      </c>
      <c r="N14" s="412" t="s">
        <v>488</v>
      </c>
      <c r="O14" s="478" t="s">
        <v>492</v>
      </c>
      <c r="P14" s="35">
        <f>P10*'LC factor'!C8+P11*'LC factor'!C12</f>
        <v>103.36656085875451</v>
      </c>
      <c r="Q14" s="35">
        <f>Q10*'LC factor'!C8+Q11*'LC factor'!C12</f>
        <v>2.2739069221106143</v>
      </c>
      <c r="R14" s="35">
        <f>R10*'LC factor'!C8+R11*'LC factor'!C12</f>
        <v>6.6744353800128113</v>
      </c>
      <c r="S14" s="40">
        <f>S10*'LC factor'!C8+S11*'LC factor'!C12</f>
        <v>0</v>
      </c>
      <c r="T14">
        <v>1000</v>
      </c>
      <c r="U14" s="366">
        <f>P14+Q14+R14+S14+T14</f>
        <v>1112.314903160878</v>
      </c>
      <c r="V14" s="366"/>
      <c r="W14" s="412" t="s">
        <v>488</v>
      </c>
      <c r="X14" s="478" t="s">
        <v>492</v>
      </c>
      <c r="Y14" s="35">
        <f>Y10*'LC factor'!C8+Y11*'LC factor'!C12</f>
        <v>103.26319429789575</v>
      </c>
      <c r="Z14" s="35">
        <f>Z10*'LC factor'!C8+Z11*'LC factor'!C12</f>
        <v>8.9845628234507871</v>
      </c>
      <c r="AA14" s="35"/>
      <c r="AB14" s="35">
        <f>AB10*'LC factor'!C11+'LC factor'!C9*'NG-based (+1)'!AB11</f>
        <v>0.94066930032412432</v>
      </c>
      <c r="AC14" s="40">
        <f>AC10*'LC factor'!C11+'LC factor'!C9*'NG-based (+1)'!AC11</f>
        <v>0.25984793010238222</v>
      </c>
      <c r="AD14">
        <v>1000</v>
      </c>
      <c r="AE14" s="366">
        <f>Y14+Z14+AB14+AC14+AD14</f>
        <v>1113.4482743517731</v>
      </c>
      <c r="AF14" s="412" t="s">
        <v>488</v>
      </c>
      <c r="AG14" s="478" t="s">
        <v>492</v>
      </c>
      <c r="AH14" s="380">
        <f>Y14</f>
        <v>103.26319429789575</v>
      </c>
      <c r="AI14" s="35">
        <f>AI10*'LC factor'!C8+AI11*'LC factor'!C12</f>
        <v>101.9795456770043</v>
      </c>
      <c r="AJ14" s="35"/>
      <c r="AK14" s="380">
        <f>AC14</f>
        <v>0.25984793010238222</v>
      </c>
      <c r="AL14">
        <v>1000</v>
      </c>
      <c r="AM14" s="366">
        <f>AH14+AI14+AK14+AL14</f>
        <v>1205.5025879050024</v>
      </c>
      <c r="AN14" s="366"/>
      <c r="AO14" s="412" t="s">
        <v>488</v>
      </c>
      <c r="AP14" s="478" t="s">
        <v>492</v>
      </c>
      <c r="AQ14" s="380">
        <f>AH14</f>
        <v>103.26319429789575</v>
      </c>
      <c r="AR14" s="380">
        <f>D31/D9*K14</f>
        <v>11.358165075942514</v>
      </c>
      <c r="AS14" s="35">
        <f>AS10*'LC factor'!C8+AS11*'LC factor'!C12</f>
        <v>101.9795456770043</v>
      </c>
      <c r="AT14" s="35"/>
      <c r="AU14" s="380">
        <f t="shared" si="0"/>
        <v>0.25984793010238222</v>
      </c>
      <c r="AV14">
        <v>1000</v>
      </c>
      <c r="AW14" s="366">
        <f>AQ14+AR14+AS14+AU14+AV14</f>
        <v>1216.8607529809449</v>
      </c>
    </row>
    <row r="15" spans="1:49">
      <c r="A15" s="39"/>
      <c r="B15" s="35" t="s">
        <v>442</v>
      </c>
      <c r="C15" s="35"/>
      <c r="D15" s="64">
        <v>1E-3</v>
      </c>
      <c r="E15" s="35"/>
      <c r="F15" s="35"/>
      <c r="G15" s="40"/>
      <c r="H15" s="412" t="s">
        <v>489</v>
      </c>
      <c r="I15" s="478" t="s">
        <v>492</v>
      </c>
      <c r="J15" s="372">
        <f>J10*'LC factor'!H17+'NG-based (+1)'!J11*'LC factor'!L17</f>
        <v>4.744992867206685</v>
      </c>
      <c r="K15" s="373">
        <f>K10*'LC factor'!H17+K11*'LC factor'!L17</f>
        <v>0.59146237839919946</v>
      </c>
      <c r="L15">
        <v>0</v>
      </c>
      <c r="M15" s="366">
        <f>(J15+K15+L15)/1000</f>
        <v>5.336455245605885E-3</v>
      </c>
      <c r="N15" s="412" t="s">
        <v>489</v>
      </c>
      <c r="O15" s="478" t="s">
        <v>492</v>
      </c>
      <c r="P15" s="35">
        <f>P10*'LC factor'!D8+P11*'LC factor'!D12</f>
        <v>4.7497426098165016</v>
      </c>
      <c r="Q15" s="35">
        <f>Q10*'LC factor'!D8+Q11*'LC factor'!D12</f>
        <v>0.11841088656640632</v>
      </c>
      <c r="R15" s="35">
        <f>R10*'LC factor'!D8+R11*'LC factor'!D12</f>
        <v>2.090296333664424</v>
      </c>
      <c r="S15" s="40">
        <f>S10*'LC factor'!D8+S11*'LC factor'!D12</f>
        <v>0</v>
      </c>
      <c r="T15">
        <v>0</v>
      </c>
      <c r="U15" s="366">
        <f>P15+Q15+R15+S15+T15</f>
        <v>6.9584498300473321</v>
      </c>
      <c r="V15" s="366"/>
      <c r="W15" s="412" t="s">
        <v>489</v>
      </c>
      <c r="X15" s="478" t="s">
        <v>492</v>
      </c>
      <c r="Y15" s="35">
        <f>Y10*'LC factor'!D8+Y11*'LC factor'!D12</f>
        <v>4.744992867206685</v>
      </c>
      <c r="Z15" s="35">
        <f>Z10*'LC factor'!D8+Z11*'LC factor'!D12</f>
        <v>3.2666095009152794</v>
      </c>
      <c r="AA15" s="35"/>
      <c r="AB15" s="35">
        <f>AB10*'LC factor'!D11+'LC factor'!D9*'NG-based (+1)'!AB11</f>
        <v>23.239733999963143</v>
      </c>
      <c r="AC15" s="40">
        <f>AC10*'LC factor'!D11+'LC factor'!D9*'NG-based (+1)'!AC11</f>
        <v>6.0127285935776111</v>
      </c>
      <c r="AD15">
        <v>0</v>
      </c>
      <c r="AE15" s="366">
        <f>Y15+Z15+AB15+AC15+AD15</f>
        <v>37.264064961662719</v>
      </c>
      <c r="AF15" s="412" t="s">
        <v>489</v>
      </c>
      <c r="AG15" s="478" t="s">
        <v>492</v>
      </c>
      <c r="AH15" s="380">
        <f>Y15</f>
        <v>4.744992867206685</v>
      </c>
      <c r="AI15" s="35">
        <f>AI10*'LC factor'!D8+AI11*'LC factor'!D12</f>
        <v>4.8025373227203927</v>
      </c>
      <c r="AJ15" s="35"/>
      <c r="AK15" s="380">
        <f>AC15</f>
        <v>6.0127285935776111</v>
      </c>
      <c r="AL15">
        <v>0</v>
      </c>
      <c r="AM15" s="366">
        <f>AH15+AI15+AK15+AL15</f>
        <v>15.560258783504688</v>
      </c>
      <c r="AN15" s="366"/>
      <c r="AO15" s="412" t="s">
        <v>489</v>
      </c>
      <c r="AP15" s="478" t="s">
        <v>492</v>
      </c>
      <c r="AQ15" s="380">
        <f>AH15</f>
        <v>4.744992867206685</v>
      </c>
      <c r="AR15" s="380">
        <f>D31/D9*K15</f>
        <v>0.59146237839919946</v>
      </c>
      <c r="AS15" s="35">
        <f>AS10*'LC factor'!D8+AS11*'LC factor'!D12</f>
        <v>4.8025373227203927</v>
      </c>
      <c r="AT15" s="35"/>
      <c r="AU15" s="380">
        <f t="shared" si="0"/>
        <v>6.0127285935776111</v>
      </c>
      <c r="AV15">
        <v>0</v>
      </c>
      <c r="AW15" s="366">
        <f>AQ15+AR15+AS15+AU15+AV15</f>
        <v>16.151721161903886</v>
      </c>
    </row>
    <row r="16" spans="1:49">
      <c r="A16" s="39"/>
      <c r="B16" s="35" t="s">
        <v>443</v>
      </c>
      <c r="C16" s="35"/>
      <c r="D16" s="64">
        <f>1-D14-D15</f>
        <v>2.9999999999999916E-2</v>
      </c>
      <c r="E16" s="35"/>
      <c r="F16" s="35"/>
      <c r="G16" s="40"/>
      <c r="H16" s="412" t="s">
        <v>490</v>
      </c>
      <c r="I16" s="478" t="s">
        <v>492</v>
      </c>
      <c r="J16" s="372">
        <f>J13+J14+J15</f>
        <v>112.44491086987948</v>
      </c>
      <c r="K16" s="373">
        <f>K13+K14+K15</f>
        <v>15.244339138734521</v>
      </c>
      <c r="L16" s="373">
        <f>L13+L14+L15</f>
        <v>1000</v>
      </c>
      <c r="M16" s="366">
        <f>(J16+K16+L16)/1000</f>
        <v>1.127689250008614</v>
      </c>
      <c r="N16" s="412" t="s">
        <v>490</v>
      </c>
      <c r="O16" s="478" t="s">
        <v>492</v>
      </c>
      <c r="P16" s="372">
        <f>P13+P14+P15</f>
        <v>112.5574683382177</v>
      </c>
      <c r="Q16" s="372">
        <f>Q13+Q14+Q15</f>
        <v>3.0519197474943995</v>
      </c>
      <c r="R16" s="372">
        <f>R13+R14+R15</f>
        <v>81.029924639834505</v>
      </c>
      <c r="S16" s="373">
        <f>S13+S14+S15</f>
        <v>0</v>
      </c>
      <c r="T16" s="373">
        <f>T13+T14+T15</f>
        <v>1000</v>
      </c>
      <c r="U16" s="366">
        <f>P16+Q16+R16+S16+T16</f>
        <v>1196.6393127255467</v>
      </c>
      <c r="V16" s="366"/>
      <c r="W16" s="412" t="s">
        <v>490</v>
      </c>
      <c r="X16" s="478" t="s">
        <v>492</v>
      </c>
      <c r="Y16" s="372">
        <f>Y13+Y14+Y15</f>
        <v>112.44491086987948</v>
      </c>
      <c r="Z16" s="372">
        <f>Z13+Z14+Z15</f>
        <v>127.8026750247485</v>
      </c>
      <c r="AA16" s="372"/>
      <c r="AB16" s="372">
        <f>AB13+AB14+AB15</f>
        <v>25.387093709792381</v>
      </c>
      <c r="AC16" s="373">
        <f>AC13+AC14+AC15</f>
        <v>6.6514344026017831</v>
      </c>
      <c r="AD16" s="373">
        <f>AD13+AD14+AD15</f>
        <v>1000</v>
      </c>
      <c r="AE16" s="366">
        <f>Y16+Z16+AB16+AC16+AD16</f>
        <v>1272.2861140070222</v>
      </c>
      <c r="AF16" s="412" t="s">
        <v>490</v>
      </c>
      <c r="AG16" s="478" t="s">
        <v>492</v>
      </c>
      <c r="AH16" s="380">
        <f>Y16</f>
        <v>112.44491086987948</v>
      </c>
      <c r="AI16" s="372">
        <f>AI13+AI14+AI15</f>
        <v>115.86624488533306</v>
      </c>
      <c r="AJ16" s="372"/>
      <c r="AK16" s="380">
        <f>AC16</f>
        <v>6.6514344026017831</v>
      </c>
      <c r="AL16" s="373">
        <f>AL13+AL14+AL15</f>
        <v>1000</v>
      </c>
      <c r="AM16" s="366">
        <f>AH16+AI16+AK16+AL16</f>
        <v>1234.9625901578142</v>
      </c>
      <c r="AN16" s="366"/>
      <c r="AO16" s="412" t="s">
        <v>490</v>
      </c>
      <c r="AP16" s="478" t="s">
        <v>492</v>
      </c>
      <c r="AQ16" s="380">
        <f>AH16</f>
        <v>112.44491086987948</v>
      </c>
      <c r="AR16" s="380">
        <f>D31/D9*K16</f>
        <v>15.244339138734521</v>
      </c>
      <c r="AS16" s="372">
        <f>AS13+AS14+AS15</f>
        <v>115.86624488533306</v>
      </c>
      <c r="AT16" s="372"/>
      <c r="AU16" s="380">
        <f t="shared" si="0"/>
        <v>6.6514344026017831</v>
      </c>
      <c r="AV16" s="373">
        <f>AV13+AV14+AV15</f>
        <v>1000</v>
      </c>
      <c r="AW16" s="366">
        <f>AQ16+AR16+AS16+AU16+AV16</f>
        <v>1250.2069292965489</v>
      </c>
    </row>
    <row r="17" spans="1:49">
      <c r="A17" s="39"/>
      <c r="B17" s="478" t="s">
        <v>476</v>
      </c>
      <c r="C17" s="35"/>
      <c r="D17" s="367">
        <f>'Key Input'!E8</f>
        <v>300</v>
      </c>
      <c r="E17" s="35" t="s">
        <v>449</v>
      </c>
      <c r="F17" s="35" t="s">
        <v>455</v>
      </c>
      <c r="G17" s="40"/>
      <c r="H17" s="39"/>
      <c r="I17" s="35"/>
      <c r="J17" s="372"/>
      <c r="K17" s="373"/>
      <c r="M17" s="438">
        <f>1/M16</f>
        <v>0.88676911657388002</v>
      </c>
      <c r="N17" s="39"/>
      <c r="O17" s="35"/>
      <c r="P17" s="35"/>
      <c r="Q17" s="35"/>
      <c r="R17" s="35"/>
      <c r="S17" s="40"/>
      <c r="U17" s="465">
        <f>1000/U16</f>
        <v>0.83567369830290161</v>
      </c>
      <c r="V17" s="465"/>
      <c r="W17" s="39"/>
      <c r="X17" s="35"/>
      <c r="Y17" s="35"/>
      <c r="Z17" s="35"/>
      <c r="AA17" s="35"/>
      <c r="AB17" s="35"/>
      <c r="AC17" s="40"/>
      <c r="AE17" s="465">
        <f>1000/AE16</f>
        <v>0.78598672813502124</v>
      </c>
      <c r="AF17" s="39"/>
      <c r="AG17" s="35"/>
      <c r="AH17" s="35"/>
      <c r="AI17" s="35"/>
      <c r="AJ17" s="35"/>
      <c r="AK17" s="35"/>
      <c r="AM17" s="465">
        <f>1000/AM16</f>
        <v>0.80974112735853099</v>
      </c>
      <c r="AN17" s="465"/>
      <c r="AO17" s="39"/>
      <c r="AP17" s="35"/>
      <c r="AQ17" s="35"/>
      <c r="AR17" s="35"/>
      <c r="AS17" s="35"/>
      <c r="AT17" s="35"/>
      <c r="AU17" s="380"/>
      <c r="AW17" s="465">
        <f>1000/AW16</f>
        <v>0.79986758717028372</v>
      </c>
    </row>
    <row r="18" spans="1:49">
      <c r="A18" s="39"/>
      <c r="B18" s="35"/>
      <c r="C18" s="361">
        <v>0.9</v>
      </c>
      <c r="D18" s="35" t="s">
        <v>434</v>
      </c>
      <c r="E18" s="35"/>
      <c r="F18" s="35"/>
      <c r="G18" s="40"/>
      <c r="H18" s="412" t="s">
        <v>491</v>
      </c>
      <c r="I18" s="529" t="s">
        <v>493</v>
      </c>
      <c r="J18" s="372">
        <f>J10*'LC factor'!H18+J11*'LC factor'!L18</f>
        <v>6582.083881740512</v>
      </c>
      <c r="K18" s="373">
        <f>K10*'LC factor'!H18+K11*'LC factor'!L18</f>
        <v>958.25792612362227</v>
      </c>
      <c r="L18" s="534">
        <f>57700*0.99</f>
        <v>57123</v>
      </c>
      <c r="M18" s="366">
        <f>(J18+K18+L18)/1000</f>
        <v>64.663341807864128</v>
      </c>
      <c r="N18" s="412" t="s">
        <v>491</v>
      </c>
      <c r="O18" s="529" t="s">
        <v>493</v>
      </c>
      <c r="P18" s="35">
        <f>P10*'LC factor'!H18+P11*'LC factor'!L18</f>
        <v>6588.672554294807</v>
      </c>
      <c r="Q18" s="529">
        <f>Q10*'LC factor'!H18+Q11*'LC factor'!L18</f>
        <v>191.84342865337786</v>
      </c>
      <c r="R18" s="529">
        <f>R10*'LC factor'!H18+R11*'LC factor'!L18</f>
        <v>6433.5522748543035</v>
      </c>
      <c r="S18" s="371">
        <f>S10*'LC factor'!H18+S11*'LC factor'!L18</f>
        <v>0</v>
      </c>
      <c r="T18" s="534">
        <f>57700*0.99</f>
        <v>57123</v>
      </c>
      <c r="W18" s="412" t="s">
        <v>491</v>
      </c>
      <c r="X18" s="529" t="s">
        <v>493</v>
      </c>
      <c r="Y18" s="35">
        <f>Y10*'LC factor'!H18+Y11*'LC factor'!L18</f>
        <v>6582.083881740512</v>
      </c>
      <c r="Z18" s="529">
        <f>Z10*'LC factor'!H18+Z11*'LC factor'!L18</f>
        <v>10185.672614286681</v>
      </c>
      <c r="AA18" s="529"/>
      <c r="AB18" s="529">
        <f>AB10*'LC factor'!L11+'LC factor'!L9*AB11</f>
        <v>1905.6531263783158</v>
      </c>
      <c r="AC18" s="371">
        <f>AC10*'LC factor'!L11+'LC factor'!L9*AC11</f>
        <v>481.64016776563949</v>
      </c>
      <c r="AD18" s="534">
        <f>57700*0.99</f>
        <v>57123</v>
      </c>
      <c r="AF18" s="412" t="s">
        <v>491</v>
      </c>
      <c r="AG18" s="529" t="s">
        <v>493</v>
      </c>
      <c r="AH18" s="380">
        <f>Y18</f>
        <v>6582.083881740512</v>
      </c>
      <c r="AI18" s="529">
        <f>AI10*'LC factor'!H18+AI11*'LC factor'!L18</f>
        <v>6892.7934077304808</v>
      </c>
      <c r="AJ18" s="529"/>
      <c r="AK18" s="380">
        <f>AC18</f>
        <v>481.64016776563949</v>
      </c>
      <c r="AL18" s="534">
        <f>57700*0.99</f>
        <v>57123</v>
      </c>
      <c r="AO18" s="412" t="s">
        <v>491</v>
      </c>
      <c r="AP18" s="529" t="s">
        <v>493</v>
      </c>
      <c r="AQ18" s="380">
        <f>AH18</f>
        <v>6582.083881740512</v>
      </c>
      <c r="AR18" s="380">
        <f>D31/D9*K18</f>
        <v>958.25792612362227</v>
      </c>
      <c r="AS18" s="529">
        <f>AS10*'LC factor'!H18+AS11*'LC factor'!L18</f>
        <v>6892.7934077304808</v>
      </c>
      <c r="AT18" s="529"/>
      <c r="AU18" s="380">
        <f t="shared" ref="AU18:AU21" si="1">AK18</f>
        <v>481.64016776563949</v>
      </c>
      <c r="AV18" s="534">
        <f>57700*0.99</f>
        <v>57123</v>
      </c>
    </row>
    <row r="19" spans="1:49" ht="14.25" thickBot="1">
      <c r="A19" s="41"/>
      <c r="B19" s="42"/>
      <c r="C19" s="454">
        <v>0.1</v>
      </c>
      <c r="D19" s="42" t="s">
        <v>446</v>
      </c>
      <c r="E19" s="42"/>
      <c r="F19" s="42"/>
      <c r="G19" s="43"/>
      <c r="H19" s="412" t="s">
        <v>494</v>
      </c>
      <c r="I19" s="529" t="s">
        <v>493</v>
      </c>
      <c r="J19" s="534">
        <f>(J10*'LC factor'!H19+J11*'LC factor'!L19)/1+(72/F5*D5)</f>
        <v>81.407672954467188</v>
      </c>
      <c r="K19" s="373">
        <f>(K10*'LC factor'!H19+K11*'LC factor'!L19)/1</f>
        <v>2.1781169934031439</v>
      </c>
      <c r="L19">
        <v>0</v>
      </c>
      <c r="M19" s="366">
        <f>(J19+K19+L19)/1000</f>
        <v>8.3585789947870331E-2</v>
      </c>
      <c r="N19" s="412" t="s">
        <v>494</v>
      </c>
      <c r="O19" s="529" t="s">
        <v>493</v>
      </c>
      <c r="P19" s="529">
        <f>(P10*'LC factor'!H19+P11*'LC factor'!L19)/1+(72/F5*D5)</f>
        <v>81.417090044511696</v>
      </c>
      <c r="Q19" s="529">
        <f>(Q10*'LC factor'!H19+Q11*'LC factor'!L19)/1</f>
        <v>0.43605945813876762</v>
      </c>
      <c r="R19" s="529">
        <f>(R10*'LC factor'!H19+R11*'LC factor'!L19)/1</f>
        <v>29.929323411761668</v>
      </c>
      <c r="S19" s="371">
        <f>(S10*'LC factor'!H19+S11*'LC factor'!L19)/1</f>
        <v>0</v>
      </c>
      <c r="T19">
        <v>0</v>
      </c>
      <c r="W19" s="412" t="s">
        <v>494</v>
      </c>
      <c r="X19" s="529" t="s">
        <v>493</v>
      </c>
      <c r="Y19" s="529">
        <f>(Y10*'LC factor'!H19+Y11*'LC factor'!L19)/1+(72/F5*D5)</f>
        <v>81.407672954467188</v>
      </c>
      <c r="Z19" s="529">
        <f>(Z10*'LC factor'!H19+Z11*'LC factor'!L19)/1</f>
        <v>47.732538933498979</v>
      </c>
      <c r="AA19" s="529"/>
      <c r="AB19" s="529">
        <f>AB10*'LC factor'!M11+'LC factor'!M9*AB11</f>
        <v>0.81787748828790086</v>
      </c>
      <c r="AC19" s="371">
        <f>AC10*'LC factor'!M19+'LC factor'!M19*AC11</f>
        <v>0</v>
      </c>
      <c r="AD19">
        <v>0</v>
      </c>
      <c r="AF19" s="412" t="s">
        <v>494</v>
      </c>
      <c r="AG19" s="529" t="s">
        <v>493</v>
      </c>
      <c r="AH19" s="380">
        <f>Y19</f>
        <v>81.407672954467188</v>
      </c>
      <c r="AI19" s="529">
        <f>(AI10*'LC factor'!H19+AI11*'LC factor'!L19)/1</f>
        <v>11.206383084460368</v>
      </c>
      <c r="AJ19" s="529"/>
      <c r="AK19" s="380">
        <f>AC19</f>
        <v>0</v>
      </c>
      <c r="AL19">
        <v>0</v>
      </c>
      <c r="AO19" s="412" t="s">
        <v>494</v>
      </c>
      <c r="AP19" s="529" t="s">
        <v>493</v>
      </c>
      <c r="AQ19" s="380">
        <f>AH19</f>
        <v>81.407672954467188</v>
      </c>
      <c r="AR19" s="380">
        <f>D31/D9*K19</f>
        <v>2.1781169934031439</v>
      </c>
      <c r="AS19" s="529">
        <f>(AS10*'LC factor'!H19+AS11*'LC factor'!L19)/1</f>
        <v>11.206383084460368</v>
      </c>
      <c r="AT19" s="529"/>
      <c r="AU19" s="380">
        <f t="shared" si="1"/>
        <v>0</v>
      </c>
      <c r="AV19">
        <v>0</v>
      </c>
    </row>
    <row r="20" spans="1:49">
      <c r="A20" s="39"/>
      <c r="B20" s="35"/>
      <c r="C20" s="35"/>
      <c r="D20" s="35"/>
      <c r="E20" s="35"/>
      <c r="F20" s="35"/>
      <c r="G20" s="40"/>
      <c r="H20" s="39" t="s">
        <v>495</v>
      </c>
      <c r="I20" s="691" t="s">
        <v>1016</v>
      </c>
      <c r="J20" s="372">
        <f>(J10*'LC factor'!H20+J11*'LC factor'!L20)/1000</f>
        <v>1.3830000876391497E-4</v>
      </c>
      <c r="K20" s="373">
        <f>(K10*'LC factor'!H20+K11*'LC factor'!L20)/1000</f>
        <v>1.8826877950371856E-5</v>
      </c>
      <c r="L20">
        <v>0</v>
      </c>
      <c r="M20" s="366">
        <f>(J20+K20+L20)/1000</f>
        <v>1.5712688671428683E-7</v>
      </c>
      <c r="N20" s="39" t="s">
        <v>495</v>
      </c>
      <c r="O20" s="691" t="s">
        <v>1016</v>
      </c>
      <c r="P20" s="529">
        <f>(P10*'LC factor'!H20+P11*'LC factor'!L20)/1000</f>
        <v>1.3843844721112607E-4</v>
      </c>
      <c r="Q20" s="529">
        <f>(Q10*'LC factor'!H20+Q11*'LC factor'!L20)/1000</f>
        <v>3.7691447348091811E-6</v>
      </c>
      <c r="R20" s="529">
        <f>(R10*'LC factor'!H20+R11*'LC factor'!L20)/1000</f>
        <v>1.0164451098454216E-4</v>
      </c>
      <c r="S20" s="371">
        <f>(S10*'LC factor'!H20+S11*'LC factor'!L20)/1000</f>
        <v>0</v>
      </c>
      <c r="T20">
        <v>0</v>
      </c>
      <c r="W20" s="39" t="s">
        <v>495</v>
      </c>
      <c r="X20" s="691" t="s">
        <v>1016</v>
      </c>
      <c r="Y20" s="529">
        <f>(Y10*'LC factor'!H20+Y11*'LC factor'!L20)/1000</f>
        <v>1.3830000876391497E-4</v>
      </c>
      <c r="Z20" s="529">
        <f>(Z10*'LC factor'!H20+Z11*'LC factor'!L20)/1000</f>
        <v>1.6036173483410205E-4</v>
      </c>
      <c r="AA20" s="529"/>
      <c r="AB20" s="529">
        <f>(AB10*'LC factor'!N20+'LC factor'!N20*AB11)/1000</f>
        <v>0</v>
      </c>
      <c r="AC20" s="371">
        <f>(AC10*'LC factor'!N20+'LC factor'!N20*AC11)/1000</f>
        <v>0</v>
      </c>
      <c r="AD20">
        <v>0</v>
      </c>
      <c r="AF20" s="39" t="s">
        <v>495</v>
      </c>
      <c r="AG20" s="691" t="s">
        <v>1016</v>
      </c>
      <c r="AH20" s="380">
        <f>Y20</f>
        <v>1.3830000876391497E-4</v>
      </c>
      <c r="AI20" s="529">
        <f>(AI10*'LC factor'!H20+AI11*'LC factor'!L20)/1000</f>
        <v>1.42637580009343E-4</v>
      </c>
      <c r="AJ20" s="529"/>
      <c r="AK20" s="380">
        <f>AC20</f>
        <v>0</v>
      </c>
      <c r="AL20">
        <v>0</v>
      </c>
      <c r="AO20" s="39" t="s">
        <v>495</v>
      </c>
      <c r="AP20" s="691" t="s">
        <v>1016</v>
      </c>
      <c r="AQ20" s="380">
        <f>AH20</f>
        <v>1.3830000876391497E-4</v>
      </c>
      <c r="AR20" s="380">
        <f>D31/D9*K20</f>
        <v>1.8826877950371856E-5</v>
      </c>
      <c r="AS20" s="529">
        <f>(AS10*'LC factor'!H20+AS11*'LC factor'!L20)/1000</f>
        <v>1.42637580009343E-4</v>
      </c>
      <c r="AT20" s="529"/>
      <c r="AU20" s="380">
        <f t="shared" si="1"/>
        <v>0</v>
      </c>
      <c r="AV20">
        <v>0</v>
      </c>
    </row>
    <row r="21" spans="1:49" ht="14.25" thickBot="1">
      <c r="A21" s="468" t="s">
        <v>602</v>
      </c>
      <c r="B21" s="108" t="s">
        <v>659</v>
      </c>
      <c r="C21" s="108"/>
      <c r="D21" s="111">
        <v>0.95199999999999996</v>
      </c>
      <c r="E21" s="108"/>
      <c r="F21" s="108"/>
      <c r="G21" s="469"/>
      <c r="H21" s="376" t="s">
        <v>496</v>
      </c>
      <c r="I21" s="376" t="s">
        <v>497</v>
      </c>
      <c r="J21" s="377">
        <f>(J18+J19*25+J20*0.298)/1000</f>
        <v>8.6172757468155936</v>
      </c>
      <c r="K21" s="377">
        <f>(K18+K19*25+K20*0.298)/1000</f>
        <v>1.0127108565691105</v>
      </c>
      <c r="L21" s="377">
        <f>(L18+L19*25+L20*0.298)/1000</f>
        <v>57.122999999999998</v>
      </c>
      <c r="M21" s="366">
        <f>(J21+K21+L21)</f>
        <v>66.752986603384699</v>
      </c>
      <c r="N21" s="375" t="s">
        <v>496</v>
      </c>
      <c r="O21" s="376" t="s">
        <v>497</v>
      </c>
      <c r="P21" s="377">
        <f>(P18+P19*25+P20*0.298)/1000</f>
        <v>8.624099846662256</v>
      </c>
      <c r="Q21" s="377">
        <f>(Q18+Q19*25+Q20*0.298)/1000</f>
        <v>0.2027449162300522</v>
      </c>
      <c r="R21" s="377">
        <f>(R18+R19*25+R20*0.298)/1000</f>
        <v>7.1817853904384101</v>
      </c>
      <c r="S21" s="377">
        <f>(S18+S19*25+S20*0.298)/1000</f>
        <v>0</v>
      </c>
      <c r="T21" s="377">
        <f>(T18+T19*25+T20*0.298)/1000</f>
        <v>57.122999999999998</v>
      </c>
      <c r="U21" s="464">
        <f>P21+Q21+R21+S21+T21</f>
        <v>73.131630153330718</v>
      </c>
      <c r="V21" s="366"/>
      <c r="W21" s="375" t="s">
        <v>496</v>
      </c>
      <c r="X21" s="376" t="s">
        <v>497</v>
      </c>
      <c r="Y21" s="377">
        <f>(Y18+Y19*25+Y20*0.298)/1000</f>
        <v>8.6172757468155936</v>
      </c>
      <c r="Z21" s="377">
        <f>(Z18+Z19*25+Z20*0.298)/1000</f>
        <v>11.378986135411951</v>
      </c>
      <c r="AA21" s="377"/>
      <c r="AB21" s="377">
        <f>(AB18+AB19*25+AB20*0.298)/1000</f>
        <v>1.9261000635855134</v>
      </c>
      <c r="AC21" s="377">
        <f>(AC18+AC19*25+AC20*0.298)/1000</f>
        <v>0.4816401677656395</v>
      </c>
      <c r="AD21" s="377">
        <f>(AD18+AD19*25+AD20*0.298)/1000</f>
        <v>57.122999999999998</v>
      </c>
      <c r="AE21" s="464">
        <f>Y21+Z21+AB21+AC21+AD21</f>
        <v>79.527002113578689</v>
      </c>
      <c r="AF21" s="375" t="s">
        <v>496</v>
      </c>
      <c r="AG21" s="376" t="s">
        <v>497</v>
      </c>
      <c r="AH21" s="377">
        <f>(AH18+AH19*25+AH20*0.298)/1000</f>
        <v>8.6172757468155936</v>
      </c>
      <c r="AI21" s="377">
        <f>(AI18+AI19*25+AI20*0.298)/1000</f>
        <v>7.1729530273479885</v>
      </c>
      <c r="AJ21" s="377"/>
      <c r="AK21" s="377">
        <f>(AK18+AK19*25+AK20*0.298)/1000</f>
        <v>0.4816401677656395</v>
      </c>
      <c r="AL21" s="377">
        <f>(AL18+AL19*25+AL20*0.298)/1000</f>
        <v>57.122999999999998</v>
      </c>
      <c r="AM21" s="464">
        <f>AH21+AI21+AK21+AL21</f>
        <v>73.394868941929218</v>
      </c>
      <c r="AN21" s="366"/>
      <c r="AO21" s="375" t="s">
        <v>496</v>
      </c>
      <c r="AP21" s="376" t="s">
        <v>497</v>
      </c>
      <c r="AQ21" s="380">
        <f>AH21</f>
        <v>8.6172757468155936</v>
      </c>
      <c r="AR21" s="377">
        <f>(AR18+AR19*25+AR20*0.298)/1000</f>
        <v>1.0127108565691105</v>
      </c>
      <c r="AS21" s="377">
        <f>(AS18+AS19*25+AS20*0.298)/1000</f>
        <v>7.1729530273479885</v>
      </c>
      <c r="AT21" s="377"/>
      <c r="AU21" s="380">
        <f t="shared" si="1"/>
        <v>0.4816401677656395</v>
      </c>
      <c r="AV21" s="377">
        <f>(AV18+AV19*25+AV20*0.298)/1000</f>
        <v>57.122999999999998</v>
      </c>
      <c r="AW21" s="464">
        <f>AQ21+AR21+AS21+AU21+AV21</f>
        <v>74.407579798498332</v>
      </c>
    </row>
    <row r="22" spans="1:49">
      <c r="A22" s="93"/>
      <c r="B22" s="35" t="s">
        <v>438</v>
      </c>
      <c r="C22" s="35"/>
      <c r="D22" s="389" t="s">
        <v>434</v>
      </c>
      <c r="E22" s="457">
        <v>0</v>
      </c>
      <c r="F22" s="35"/>
      <c r="G22" s="84"/>
      <c r="J22" s="465">
        <f>J21/M21</f>
        <v>0.12909198801868524</v>
      </c>
      <c r="K22" s="465">
        <f>K21/M21</f>
        <v>1.517101942698338E-2</v>
      </c>
      <c r="L22" s="465">
        <f>L21/M21</f>
        <v>0.85573699255433144</v>
      </c>
      <c r="P22" s="465">
        <f>P21/U21</f>
        <v>0.11792571598063138</v>
      </c>
      <c r="Q22" s="465">
        <f>Q21/U21</f>
        <v>2.7723286873951674E-3</v>
      </c>
      <c r="R22" s="465">
        <f>R21/U21</f>
        <v>9.820354578970536E-2</v>
      </c>
      <c r="S22" s="465">
        <f>S21/U21</f>
        <v>0</v>
      </c>
      <c r="T22" s="465">
        <f>T21/U21</f>
        <v>0.78109840954226806</v>
      </c>
      <c r="Y22" s="465">
        <f>Y21/AE21</f>
        <v>0.10835660238403798</v>
      </c>
      <c r="Z22" s="465">
        <f>Z21/AE21</f>
        <v>0.14308330294106569</v>
      </c>
      <c r="AA22" s="465"/>
      <c r="AB22" s="465">
        <f>AB21/AE21</f>
        <v>2.4219447639113822E-2</v>
      </c>
      <c r="AC22" s="465">
        <f>AC21/AE21</f>
        <v>6.0563098691658436E-3</v>
      </c>
      <c r="AD22" s="465">
        <f>AD21/AE21</f>
        <v>0.71828433716661677</v>
      </c>
      <c r="AG22" s="465"/>
      <c r="AH22" s="465">
        <f>AH21/AM21</f>
        <v>0.11740978451277938</v>
      </c>
      <c r="AI22" s="465">
        <f>AI21/AM21</f>
        <v>9.7730987611999193E-2</v>
      </c>
      <c r="AJ22" s="465"/>
      <c r="AK22" s="465">
        <f>AK21/AM21</f>
        <v>6.5623138880010565E-3</v>
      </c>
      <c r="AL22" s="465">
        <f>AL21/AM21</f>
        <v>0.77829691398722034</v>
      </c>
      <c r="AQ22" s="465">
        <f>AQ21/AW21</f>
        <v>0.11581179995575537</v>
      </c>
      <c r="AR22" s="465">
        <f>AR21/AW21</f>
        <v>1.3610318455614501E-2</v>
      </c>
      <c r="AS22" s="465">
        <f>AS21/AW21</f>
        <v>9.6400837747618165E-2</v>
      </c>
      <c r="AT22" s="465"/>
      <c r="AU22" s="465">
        <f>AU21/AW21</f>
        <v>6.4729987061796597E-3</v>
      </c>
      <c r="AV22" s="465">
        <f>AV21/AW21</f>
        <v>0.76770404513483226</v>
      </c>
    </row>
    <row r="23" spans="1:49">
      <c r="A23" s="93"/>
      <c r="B23" s="35"/>
      <c r="C23" s="35"/>
      <c r="D23" s="389" t="s">
        <v>447</v>
      </c>
      <c r="E23" s="457">
        <f>1-E22</f>
        <v>1</v>
      </c>
      <c r="F23" s="35"/>
      <c r="G23" s="84"/>
      <c r="AE23">
        <f>AE21/'NG-based'!AE21</f>
        <v>1.0558414630560049</v>
      </c>
      <c r="AM23" s="465">
        <f>AM21/AE21</f>
        <v>0.92289243893675643</v>
      </c>
      <c r="AN23">
        <f>AM21/'NG-based'!AM21</f>
        <v>0.94539133639821338</v>
      </c>
      <c r="AW23">
        <f>AW21/'NG-based'!AW21</f>
        <v>0.94621206093875254</v>
      </c>
    </row>
    <row r="24" spans="1:49">
      <c r="A24" s="93"/>
      <c r="B24" s="478" t="s">
        <v>603</v>
      </c>
      <c r="C24" s="35"/>
      <c r="D24" s="452">
        <f>'Key Input'!E12</f>
        <v>6700</v>
      </c>
      <c r="E24" s="361" t="s">
        <v>449</v>
      </c>
      <c r="F24" s="35" t="s">
        <v>450</v>
      </c>
      <c r="G24" s="84"/>
      <c r="AE24">
        <f>90.4/AE21</f>
        <v>1.1367208318866684</v>
      </c>
      <c r="AM24">
        <f>88.4/AM21</f>
        <v>1.2044438701831186</v>
      </c>
      <c r="AW24">
        <f>89.4/AW21</f>
        <v>1.2014904965610003</v>
      </c>
    </row>
    <row r="25" spans="1:49">
      <c r="A25" s="93"/>
      <c r="B25" s="35"/>
      <c r="C25" s="35"/>
      <c r="D25" s="35"/>
      <c r="E25" s="35"/>
      <c r="F25" s="35"/>
      <c r="G25" s="84"/>
      <c r="AE25">
        <f>74.7/AE21</f>
        <v>0.93930360776475808</v>
      </c>
      <c r="AM25">
        <f>73.5/AM21</f>
        <v>1.0014324033762354</v>
      </c>
      <c r="AW25">
        <f>74.3/AW21</f>
        <v>0.99855418226490267</v>
      </c>
    </row>
    <row r="26" spans="1:49">
      <c r="A26" s="470" t="s">
        <v>604</v>
      </c>
      <c r="B26" s="456" t="s">
        <v>613</v>
      </c>
      <c r="C26" s="35"/>
      <c r="D26" s="35"/>
      <c r="E26" s="35"/>
      <c r="F26" s="35"/>
      <c r="G26" s="84"/>
    </row>
    <row r="27" spans="1:49">
      <c r="A27" s="93"/>
      <c r="B27" s="456" t="s">
        <v>660</v>
      </c>
      <c r="C27" s="35"/>
      <c r="D27" s="64">
        <v>0.90200000000000002</v>
      </c>
      <c r="E27" s="35"/>
      <c r="F27" s="35"/>
      <c r="G27" s="84"/>
    </row>
    <row r="28" spans="1:49">
      <c r="A28" s="93"/>
      <c r="B28" s="35" t="s">
        <v>438</v>
      </c>
      <c r="C28" s="35"/>
      <c r="D28" s="389" t="s">
        <v>434</v>
      </c>
      <c r="E28" s="457">
        <v>0.98</v>
      </c>
      <c r="F28" s="35"/>
      <c r="G28" s="84"/>
    </row>
    <row r="29" spans="1:49">
      <c r="A29" s="93"/>
      <c r="B29" s="35"/>
      <c r="C29" s="35"/>
      <c r="D29" s="389" t="s">
        <v>447</v>
      </c>
      <c r="E29" s="457">
        <f>1-E28</f>
        <v>2.0000000000000018E-2</v>
      </c>
      <c r="F29" s="35"/>
      <c r="G29" s="84"/>
    </row>
    <row r="30" spans="1:49">
      <c r="A30" s="93"/>
      <c r="B30" s="35"/>
      <c r="C30" s="35"/>
      <c r="D30" s="35"/>
      <c r="E30" s="35"/>
      <c r="F30" s="35"/>
      <c r="G30" s="84"/>
    </row>
    <row r="31" spans="1:49">
      <c r="A31" s="470" t="s">
        <v>605</v>
      </c>
      <c r="B31" s="456" t="s">
        <v>606</v>
      </c>
      <c r="C31" s="35"/>
      <c r="D31" s="452">
        <f>'Key Input'!E15</f>
        <v>1500</v>
      </c>
      <c r="E31" s="478" t="s">
        <v>607</v>
      </c>
      <c r="F31" s="456" t="s">
        <v>455</v>
      </c>
      <c r="G31" s="84"/>
    </row>
    <row r="32" spans="1:49">
      <c r="A32" s="93"/>
      <c r="B32" s="456" t="s">
        <v>660</v>
      </c>
      <c r="C32" s="35"/>
      <c r="D32" s="64">
        <f>D27</f>
        <v>0.90200000000000002</v>
      </c>
      <c r="E32" s="35"/>
      <c r="F32" s="35"/>
      <c r="G32" s="84"/>
    </row>
    <row r="33" spans="1:7">
      <c r="A33" s="93"/>
      <c r="B33" s="35" t="s">
        <v>438</v>
      </c>
      <c r="C33" s="35"/>
      <c r="D33" s="389" t="str">
        <f>D28</f>
        <v>NG</v>
      </c>
      <c r="E33" s="457">
        <v>0.98</v>
      </c>
      <c r="F33" s="35"/>
      <c r="G33" s="84"/>
    </row>
    <row r="34" spans="1:7">
      <c r="A34" s="470"/>
      <c r="B34" s="35"/>
      <c r="C34" s="35"/>
      <c r="D34" s="389" t="s">
        <v>447</v>
      </c>
      <c r="E34" s="457">
        <f>1-E33</f>
        <v>2.0000000000000018E-2</v>
      </c>
      <c r="F34" s="35"/>
      <c r="G34" s="84"/>
    </row>
    <row r="35" spans="1:7">
      <c r="A35" s="93"/>
      <c r="B35" s="35"/>
      <c r="C35" s="35"/>
      <c r="D35" s="35"/>
      <c r="E35" s="35"/>
      <c r="F35" s="35"/>
      <c r="G35" s="84"/>
    </row>
    <row r="36" spans="1:7">
      <c r="A36" s="93" t="s">
        <v>661</v>
      </c>
      <c r="B36" s="478" t="s">
        <v>601</v>
      </c>
      <c r="C36" s="35"/>
      <c r="D36" s="35"/>
      <c r="E36" s="361"/>
      <c r="F36" s="35"/>
      <c r="G36" s="84"/>
    </row>
    <row r="37" spans="1:7">
      <c r="A37" s="470"/>
      <c r="B37" s="478"/>
      <c r="C37" s="35"/>
      <c r="D37" s="452">
        <f>'Key Input'!E16</f>
        <v>100</v>
      </c>
      <c r="E37" s="35" t="s">
        <v>449</v>
      </c>
      <c r="F37" s="35" t="s">
        <v>451</v>
      </c>
      <c r="G37" s="84"/>
    </row>
    <row r="38" spans="1:7">
      <c r="A38" s="93"/>
      <c r="B38" s="35"/>
      <c r="C38" s="35"/>
      <c r="D38" s="35"/>
      <c r="E38" s="35"/>
      <c r="F38" s="35"/>
      <c r="G38" s="84"/>
    </row>
    <row r="39" spans="1:7">
      <c r="A39" s="93"/>
      <c r="B39" s="456" t="s">
        <v>470</v>
      </c>
      <c r="C39" s="478" t="s">
        <v>450</v>
      </c>
      <c r="D39" s="389">
        <v>150</v>
      </c>
      <c r="E39" s="456" t="s">
        <v>471</v>
      </c>
      <c r="F39" s="478" t="s">
        <v>503</v>
      </c>
      <c r="G39" s="84"/>
    </row>
    <row r="40" spans="1:7">
      <c r="A40" s="93"/>
      <c r="B40" s="35"/>
      <c r="C40" s="478" t="s">
        <v>451</v>
      </c>
      <c r="D40" s="389">
        <v>2500</v>
      </c>
      <c r="E40" s="456" t="s">
        <v>471</v>
      </c>
      <c r="F40" s="384" t="s">
        <v>504</v>
      </c>
      <c r="G40" s="84"/>
    </row>
    <row r="41" spans="1:7">
      <c r="A41" s="93"/>
      <c r="B41" s="35"/>
      <c r="C41" s="478" t="s">
        <v>455</v>
      </c>
      <c r="D41" s="389">
        <f>C12</f>
        <v>372</v>
      </c>
      <c r="E41" s="456" t="str">
        <f>D12</f>
        <v>kj/tkm</v>
      </c>
      <c r="F41" s="384"/>
      <c r="G41" s="84"/>
    </row>
    <row r="42" spans="1:7">
      <c r="A42" s="93"/>
      <c r="B42" s="35"/>
      <c r="C42" s="35"/>
      <c r="D42" s="457">
        <f>C10</f>
        <v>0.9</v>
      </c>
      <c r="E42" s="457" t="str">
        <f>D10</f>
        <v>NG</v>
      </c>
      <c r="F42" s="384"/>
      <c r="G42" s="84"/>
    </row>
    <row r="43" spans="1:7">
      <c r="A43" s="101"/>
      <c r="B43" s="102"/>
      <c r="C43" s="102"/>
      <c r="D43" s="471">
        <f>C11</f>
        <v>0.1</v>
      </c>
      <c r="E43" s="471" t="str">
        <f>D11</f>
        <v>electricity</v>
      </c>
      <c r="F43" s="472"/>
      <c r="G43" s="473"/>
    </row>
    <row r="44" spans="1:7" ht="14.25" thickBot="1">
      <c r="A44" s="39"/>
      <c r="B44" s="35"/>
      <c r="C44" s="35"/>
      <c r="D44" s="456"/>
      <c r="E44" s="384"/>
      <c r="F44" s="35"/>
      <c r="G44" s="40"/>
    </row>
    <row r="45" spans="1:7">
      <c r="A45" s="36" t="s">
        <v>448</v>
      </c>
      <c r="B45" s="37" t="s">
        <v>444</v>
      </c>
      <c r="C45" s="37"/>
      <c r="D45" s="449">
        <f>'Key Input'!E18</f>
        <v>0.54200000000000004</v>
      </c>
      <c r="E45" s="37"/>
      <c r="F45" s="37"/>
      <c r="G45" s="38"/>
    </row>
    <row r="46" spans="1:7">
      <c r="A46" s="39"/>
      <c r="B46" s="35" t="s">
        <v>438</v>
      </c>
      <c r="C46" s="35"/>
      <c r="D46" s="35" t="s">
        <v>434</v>
      </c>
      <c r="E46" s="64">
        <v>1</v>
      </c>
      <c r="F46" s="35"/>
      <c r="G46" s="40"/>
    </row>
    <row r="47" spans="1:7">
      <c r="A47" s="39"/>
      <c r="B47" s="35" t="s">
        <v>452</v>
      </c>
      <c r="C47" s="35"/>
      <c r="D47" s="35">
        <v>100</v>
      </c>
      <c r="E47" s="35" t="s">
        <v>449</v>
      </c>
      <c r="F47" s="35" t="s">
        <v>455</v>
      </c>
      <c r="G47" s="40"/>
    </row>
    <row r="48" spans="1:7" ht="14.25" thickBot="1">
      <c r="A48" s="41"/>
      <c r="B48" s="42" t="s">
        <v>453</v>
      </c>
      <c r="C48" s="42"/>
      <c r="D48" s="42" t="s">
        <v>454</v>
      </c>
      <c r="E48" s="376" t="s">
        <v>506</v>
      </c>
      <c r="F48" s="42"/>
      <c r="G48" s="43"/>
    </row>
  </sheetData>
  <phoneticPr fontId="4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W48"/>
  <sheetViews>
    <sheetView zoomScale="70" zoomScaleNormal="70" workbookViewId="0">
      <selection activeCell="AM23" sqref="AM23"/>
    </sheetView>
  </sheetViews>
  <sheetFormatPr defaultRowHeight="13.5"/>
  <cols>
    <col min="4" max="4" width="12.625" customWidth="1"/>
    <col min="10" max="10" width="12.875" bestFit="1" customWidth="1"/>
    <col min="11" max="11" width="11.625" bestFit="1" customWidth="1"/>
    <col min="16" max="16" width="9.5" bestFit="1" customWidth="1"/>
    <col min="17" max="18" width="12.75" bestFit="1" customWidth="1"/>
    <col min="19" max="19" width="9" bestFit="1" customWidth="1"/>
    <col min="20" max="20" width="9" customWidth="1"/>
    <col min="21" max="21" width="9.5" bestFit="1" customWidth="1"/>
    <col min="22" max="22" width="9.5" customWidth="1"/>
    <col min="28" max="29" width="12.75" bestFit="1" customWidth="1"/>
    <col min="30" max="30" width="12.75" customWidth="1"/>
    <col min="31" max="31" width="9.5" bestFit="1" customWidth="1"/>
    <col min="32" max="40" width="9.5" customWidth="1"/>
    <col min="43" max="43" width="9.5" bestFit="1" customWidth="1"/>
    <col min="44" max="44" width="9.5" customWidth="1"/>
    <col min="45" max="45" width="12.75" bestFit="1" customWidth="1"/>
    <col min="49" max="49" width="10.5" bestFit="1" customWidth="1"/>
  </cols>
  <sheetData>
    <row r="1" spans="1:49" ht="14.25" thickBot="1">
      <c r="A1" s="36" t="s">
        <v>457</v>
      </c>
      <c r="B1" s="37" t="s">
        <v>434</v>
      </c>
      <c r="C1" s="37">
        <f>47.7</f>
        <v>47.7</v>
      </c>
      <c r="D1" s="37" t="s">
        <v>458</v>
      </c>
      <c r="E1" s="418" t="s">
        <v>956</v>
      </c>
      <c r="F1" s="37"/>
      <c r="G1" s="38"/>
      <c r="J1" s="453" t="s">
        <v>478</v>
      </c>
      <c r="O1" s="453" t="s">
        <v>498</v>
      </c>
      <c r="W1" s="453" t="s">
        <v>599</v>
      </c>
      <c r="X1" t="str">
        <f>'fuel summary'!$C$34</f>
        <v>进口LNG</v>
      </c>
      <c r="AF1" s="453" t="s">
        <v>600</v>
      </c>
      <c r="AG1" t="str">
        <f>'fuel summary'!$C$47</f>
        <v>国产气田产LNG</v>
      </c>
      <c r="AO1" s="453" t="s">
        <v>612</v>
      </c>
      <c r="AP1" t="str">
        <f>'fuel summary'!$C$60</f>
        <v>管输气产LNG</v>
      </c>
    </row>
    <row r="2" spans="1:49">
      <c r="A2" s="39"/>
      <c r="B2" s="35" t="s">
        <v>448</v>
      </c>
      <c r="C2" s="35">
        <v>40.99</v>
      </c>
      <c r="D2" s="35" t="s">
        <v>458</v>
      </c>
      <c r="E2" s="35"/>
      <c r="F2" s="35"/>
      <c r="G2" s="40"/>
      <c r="H2" s="36"/>
      <c r="I2" s="37"/>
      <c r="J2" s="458" t="s">
        <v>460</v>
      </c>
      <c r="K2" s="416" t="s">
        <v>461</v>
      </c>
      <c r="L2" s="477" t="s">
        <v>510</v>
      </c>
      <c r="N2" s="36"/>
      <c r="O2" s="37"/>
      <c r="P2" s="458" t="s">
        <v>460</v>
      </c>
      <c r="Q2" s="458" t="s">
        <v>461</v>
      </c>
      <c r="R2" s="458" t="s">
        <v>462</v>
      </c>
      <c r="S2" s="416" t="s">
        <v>511</v>
      </c>
      <c r="T2" s="477" t="s">
        <v>510</v>
      </c>
      <c r="W2" s="36"/>
      <c r="X2" s="37"/>
      <c r="Y2" s="458" t="s">
        <v>460</v>
      </c>
      <c r="Z2" s="458" t="s">
        <v>499</v>
      </c>
      <c r="AA2" s="458"/>
      <c r="AB2" s="458" t="s">
        <v>500</v>
      </c>
      <c r="AC2" s="416" t="s">
        <v>501</v>
      </c>
      <c r="AD2" s="477" t="s">
        <v>510</v>
      </c>
      <c r="AF2" s="36"/>
      <c r="AG2" s="37"/>
      <c r="AH2" s="458" t="s">
        <v>460</v>
      </c>
      <c r="AI2" s="458" t="s">
        <v>499</v>
      </c>
      <c r="AJ2" s="458"/>
      <c r="AK2" s="416" t="s">
        <v>501</v>
      </c>
      <c r="AL2" s="477" t="s">
        <v>510</v>
      </c>
      <c r="AO2" s="36"/>
      <c r="AP2" s="37"/>
      <c r="AQ2" s="458" t="s">
        <v>460</v>
      </c>
      <c r="AR2" s="458" t="s">
        <v>611</v>
      </c>
      <c r="AS2" s="458" t="s">
        <v>499</v>
      </c>
      <c r="AT2" s="458"/>
      <c r="AU2" s="416" t="s">
        <v>501</v>
      </c>
      <c r="AV2" s="477" t="s">
        <v>510</v>
      </c>
    </row>
    <row r="3" spans="1:49" ht="14.25" thickBot="1">
      <c r="A3" s="39"/>
      <c r="B3" s="35"/>
      <c r="C3" s="35"/>
      <c r="D3" s="35"/>
      <c r="E3" s="35"/>
      <c r="F3" s="35"/>
      <c r="G3" s="40"/>
      <c r="H3" s="39"/>
      <c r="I3" s="478" t="s">
        <v>482</v>
      </c>
      <c r="J3" s="35">
        <v>1</v>
      </c>
      <c r="K3" s="40">
        <v>1</v>
      </c>
      <c r="N3" s="39"/>
      <c r="O3" s="35"/>
      <c r="P3" s="35">
        <v>1</v>
      </c>
      <c r="Q3" s="35">
        <v>1</v>
      </c>
      <c r="R3" s="378">
        <f>1-D15</f>
        <v>0.999</v>
      </c>
      <c r="S3" s="40">
        <v>1</v>
      </c>
      <c r="W3" s="39"/>
      <c r="X3" s="35"/>
      <c r="Y3" s="35">
        <v>1</v>
      </c>
      <c r="Z3" s="35">
        <v>1</v>
      </c>
      <c r="AA3" s="35"/>
      <c r="AB3" s="378">
        <v>1</v>
      </c>
      <c r="AC3" s="40">
        <v>1</v>
      </c>
      <c r="AF3" s="39"/>
      <c r="AG3" s="35"/>
      <c r="AH3" s="35">
        <v>1</v>
      </c>
      <c r="AI3" s="35">
        <v>1</v>
      </c>
      <c r="AJ3" s="35"/>
      <c r="AK3" s="40">
        <v>1</v>
      </c>
      <c r="AO3" s="39"/>
      <c r="AP3" s="35"/>
      <c r="AQ3" s="35">
        <v>1</v>
      </c>
      <c r="AR3" s="35">
        <v>1</v>
      </c>
      <c r="AS3" s="35">
        <v>1</v>
      </c>
      <c r="AT3" s="35"/>
      <c r="AU3" s="40">
        <v>1</v>
      </c>
    </row>
    <row r="4" spans="1:49" ht="14.25" thickBot="1">
      <c r="A4" s="36" t="s">
        <v>434</v>
      </c>
      <c r="B4" s="37" t="s">
        <v>436</v>
      </c>
      <c r="C4" s="37"/>
      <c r="D4" s="414">
        <f>'Key Input'!E4</f>
        <v>0.96</v>
      </c>
      <c r="E4" s="37"/>
      <c r="F4" s="37"/>
      <c r="G4" s="38"/>
      <c r="H4" s="39"/>
      <c r="I4" s="478" t="s">
        <v>464</v>
      </c>
      <c r="J4" s="478" t="s">
        <v>463</v>
      </c>
      <c r="K4" s="371" t="s">
        <v>465</v>
      </c>
      <c r="N4" s="39"/>
      <c r="O4" s="478" t="s">
        <v>464</v>
      </c>
      <c r="P4" s="478" t="s">
        <v>463</v>
      </c>
      <c r="Q4" s="478" t="s">
        <v>465</v>
      </c>
      <c r="R4" s="456" t="s">
        <v>466</v>
      </c>
      <c r="S4" s="379" t="s">
        <v>479</v>
      </c>
      <c r="W4" s="39"/>
      <c r="X4" s="478" t="s">
        <v>464</v>
      </c>
      <c r="Y4" s="478" t="s">
        <v>463</v>
      </c>
      <c r="Z4" s="478" t="s">
        <v>466</v>
      </c>
      <c r="AA4" s="478"/>
      <c r="AB4" s="456" t="s">
        <v>466</v>
      </c>
      <c r="AC4" s="379" t="s">
        <v>479</v>
      </c>
      <c r="AF4" s="39"/>
      <c r="AG4" s="478" t="s">
        <v>464</v>
      </c>
      <c r="AH4" s="478" t="s">
        <v>463</v>
      </c>
      <c r="AI4" s="478" t="s">
        <v>466</v>
      </c>
      <c r="AJ4" s="478"/>
      <c r="AK4" s="379" t="s">
        <v>479</v>
      </c>
      <c r="AO4" s="39"/>
      <c r="AP4" s="478" t="s">
        <v>464</v>
      </c>
      <c r="AQ4" s="478" t="s">
        <v>463</v>
      </c>
      <c r="AR4" s="478" t="s">
        <v>614</v>
      </c>
      <c r="AS4" s="478" t="s">
        <v>466</v>
      </c>
      <c r="AT4" s="478"/>
      <c r="AU4" s="379" t="s">
        <v>479</v>
      </c>
    </row>
    <row r="5" spans="1:49" ht="14.25" thickBot="1">
      <c r="A5" s="39"/>
      <c r="B5" s="35" t="str">
        <f>'Key Input'!B6</f>
        <v>NG开采CH4逸散比例</v>
      </c>
      <c r="C5" s="35"/>
      <c r="D5" s="449">
        <f>'Key Input'!E6</f>
        <v>3.4344000000000002E-3</v>
      </c>
      <c r="E5" s="35" t="s">
        <v>650</v>
      </c>
      <c r="F5" s="449">
        <f>0.072*47.7/1000</f>
        <v>3.4344000000000002E-3</v>
      </c>
      <c r="G5" s="40"/>
      <c r="H5" s="39"/>
      <c r="I5" s="478"/>
      <c r="J5" s="478"/>
      <c r="K5" s="371"/>
      <c r="N5" s="39"/>
      <c r="O5" s="478"/>
      <c r="P5" s="478"/>
      <c r="Q5" s="478"/>
      <c r="R5" s="456"/>
      <c r="S5" s="379"/>
      <c r="W5" s="39"/>
      <c r="X5" s="478"/>
      <c r="Y5" s="478"/>
      <c r="Z5" s="478"/>
      <c r="AA5" s="478"/>
      <c r="AB5" s="456"/>
      <c r="AC5" s="379"/>
      <c r="AF5" s="39"/>
      <c r="AG5" s="478"/>
      <c r="AH5" s="478"/>
      <c r="AI5" s="478"/>
      <c r="AJ5" s="478"/>
      <c r="AK5" s="379"/>
      <c r="AO5" s="39"/>
      <c r="AP5" s="478"/>
      <c r="AQ5" s="478"/>
      <c r="AR5" s="478"/>
      <c r="AS5" s="478"/>
      <c r="AT5" s="478"/>
      <c r="AU5" s="379"/>
    </row>
    <row r="6" spans="1:49">
      <c r="A6" s="39"/>
      <c r="B6" s="35" t="s">
        <v>435</v>
      </c>
      <c r="C6" s="35"/>
      <c r="D6" s="414">
        <f>'Key Input'!E5</f>
        <v>0.94</v>
      </c>
      <c r="E6" s="35"/>
      <c r="F6" s="35"/>
      <c r="G6" s="40"/>
      <c r="H6" s="39"/>
      <c r="I6" s="478" t="s">
        <v>467</v>
      </c>
      <c r="J6" s="478" t="s">
        <v>472</v>
      </c>
      <c r="K6" s="371" t="s">
        <v>474</v>
      </c>
      <c r="N6" s="39"/>
      <c r="O6" s="478" t="s">
        <v>467</v>
      </c>
      <c r="P6" s="478" t="s">
        <v>472</v>
      </c>
      <c r="Q6" s="478" t="s">
        <v>474</v>
      </c>
      <c r="R6" s="456" t="s">
        <v>472</v>
      </c>
      <c r="S6" s="379" t="s">
        <v>472</v>
      </c>
      <c r="W6" s="39"/>
      <c r="X6" s="478" t="s">
        <v>467</v>
      </c>
      <c r="Y6" s="478" t="s">
        <v>472</v>
      </c>
      <c r="Z6" s="478" t="s">
        <v>474</v>
      </c>
      <c r="AA6" s="478"/>
      <c r="AB6" s="456" t="s">
        <v>472</v>
      </c>
      <c r="AC6" s="379" t="s">
        <v>472</v>
      </c>
      <c r="AF6" s="39"/>
      <c r="AG6" s="478" t="s">
        <v>467</v>
      </c>
      <c r="AH6" s="478" t="s">
        <v>472</v>
      </c>
      <c r="AI6" s="478" t="s">
        <v>474</v>
      </c>
      <c r="AJ6" s="478"/>
      <c r="AK6" s="379" t="s">
        <v>472</v>
      </c>
      <c r="AO6" s="39"/>
      <c r="AP6" s="478" t="s">
        <v>467</v>
      </c>
      <c r="AQ6" s="478" t="s">
        <v>472</v>
      </c>
      <c r="AR6" s="478"/>
      <c r="AS6" s="478" t="s">
        <v>474</v>
      </c>
      <c r="AT6" s="478"/>
      <c r="AU6" s="379" t="s">
        <v>472</v>
      </c>
    </row>
    <row r="7" spans="1:49">
      <c r="A7" s="39"/>
      <c r="B7" s="35" t="s">
        <v>437</v>
      </c>
      <c r="C7" s="35"/>
      <c r="D7" s="362">
        <f>D4*D6</f>
        <v>0.90239999999999987</v>
      </c>
      <c r="E7" s="35"/>
      <c r="F7" s="35"/>
      <c r="G7" s="40"/>
      <c r="H7" s="39"/>
      <c r="I7" s="478" t="s">
        <v>468</v>
      </c>
      <c r="J7" s="372">
        <f>(1-D7)*E8*1000</f>
        <v>97.600000000000136</v>
      </c>
      <c r="K7" s="373">
        <f>D9*C12/47.7/1000*C10</f>
        <v>10.528301886792452</v>
      </c>
      <c r="N7" s="39"/>
      <c r="O7" s="478" t="s">
        <v>468</v>
      </c>
      <c r="P7" s="380">
        <f>J7</f>
        <v>97.600000000000136</v>
      </c>
      <c r="Q7" s="381">
        <f>D17*C12/47.7/1000*C10</f>
        <v>2.1056603773584905</v>
      </c>
      <c r="R7" s="380">
        <f>D15/(1-D15)*1000</f>
        <v>1.0010010010010011</v>
      </c>
      <c r="S7" s="40">
        <v>0</v>
      </c>
      <c r="W7" s="39"/>
      <c r="X7" s="478" t="s">
        <v>468</v>
      </c>
      <c r="Y7" s="380">
        <f>P7</f>
        <v>97.600000000000136</v>
      </c>
      <c r="Z7" s="381">
        <f>(1-D21)*E22*1000</f>
        <v>96.039999999999978</v>
      </c>
      <c r="AA7" s="381" t="s">
        <v>503</v>
      </c>
      <c r="AB7" s="380">
        <f>D39*D24/C1/1000</f>
        <v>10.534591194968552</v>
      </c>
      <c r="AC7" s="40"/>
      <c r="AF7" s="39"/>
      <c r="AG7" s="478" t="s">
        <v>468</v>
      </c>
      <c r="AH7" s="380">
        <f>Y7</f>
        <v>97.600000000000136</v>
      </c>
      <c r="AI7" s="380">
        <f>(1-D27)*E28*1000</f>
        <v>0</v>
      </c>
      <c r="AJ7" s="381" t="s">
        <v>503</v>
      </c>
      <c r="AK7" s="40"/>
      <c r="AO7" s="39"/>
      <c r="AP7" s="478" t="s">
        <v>468</v>
      </c>
      <c r="AQ7" s="380">
        <f>AH7</f>
        <v>97.600000000000136</v>
      </c>
      <c r="AR7" s="380">
        <f>D31/D9*K7</f>
        <v>5.2641509433962259</v>
      </c>
      <c r="AS7" s="380">
        <f>(1-D32)*E33*1000</f>
        <v>0</v>
      </c>
      <c r="AT7" s="381" t="s">
        <v>503</v>
      </c>
      <c r="AU7" s="40"/>
    </row>
    <row r="8" spans="1:49">
      <c r="A8" s="39"/>
      <c r="B8" s="35" t="s">
        <v>438</v>
      </c>
      <c r="C8" s="35"/>
      <c r="D8" s="35" t="s">
        <v>434</v>
      </c>
      <c r="E8" s="361">
        <v>1</v>
      </c>
      <c r="F8" s="478" t="s">
        <v>469</v>
      </c>
      <c r="G8" s="40"/>
      <c r="H8" s="39"/>
      <c r="I8" s="478" t="s">
        <v>473</v>
      </c>
      <c r="J8" s="372"/>
      <c r="K8" s="373">
        <f>D9*C12/47.7/1000*C11</f>
        <v>1.1698113207547169</v>
      </c>
      <c r="N8" s="39"/>
      <c r="O8" s="478" t="s">
        <v>473</v>
      </c>
      <c r="P8" s="380"/>
      <c r="Q8" s="381">
        <f>D17*C12/47.7/1000*C11</f>
        <v>0.2339622641509434</v>
      </c>
      <c r="R8" s="380">
        <f>D16*1000</f>
        <v>29.999999999999915</v>
      </c>
      <c r="S8" s="40">
        <v>0</v>
      </c>
      <c r="W8" s="39"/>
      <c r="X8" s="478" t="s">
        <v>473</v>
      </c>
      <c r="Y8" s="380"/>
      <c r="Z8" s="381">
        <f>(1-D21)*E23*1000</f>
        <v>1.9600000000000013</v>
      </c>
      <c r="AA8" s="381" t="s">
        <v>504</v>
      </c>
      <c r="AB8" s="380"/>
      <c r="AC8" s="380">
        <f>D40*D37/C1/1000</f>
        <v>2.6205450733752618</v>
      </c>
      <c r="AF8" s="39"/>
      <c r="AG8" s="478" t="s">
        <v>473</v>
      </c>
      <c r="AH8" s="380"/>
      <c r="AI8" s="380">
        <f>(1-D27)*E29*1000</f>
        <v>48.141214228403229</v>
      </c>
      <c r="AJ8" s="381" t="s">
        <v>504</v>
      </c>
      <c r="AK8" s="380">
        <f>AC8</f>
        <v>2.6205450733752618</v>
      </c>
      <c r="AO8" s="39"/>
      <c r="AP8" s="478" t="s">
        <v>473</v>
      </c>
      <c r="AQ8" s="380"/>
      <c r="AR8" s="380">
        <f>D31/D9*K8</f>
        <v>0.58490566037735847</v>
      </c>
      <c r="AS8" s="380">
        <f>(1-D32)*E34*1000</f>
        <v>48.10000000000003</v>
      </c>
      <c r="AT8" s="381" t="s">
        <v>504</v>
      </c>
      <c r="AU8" s="380">
        <f>AK8</f>
        <v>2.6205450733752618</v>
      </c>
    </row>
    <row r="9" spans="1:49">
      <c r="A9" s="39"/>
      <c r="B9" s="478" t="s">
        <v>477</v>
      </c>
      <c r="C9" s="35"/>
      <c r="D9" s="452">
        <v>1500</v>
      </c>
      <c r="E9" s="35" t="s">
        <v>449</v>
      </c>
      <c r="F9" s="35" t="s">
        <v>455</v>
      </c>
      <c r="G9" s="40"/>
      <c r="H9" s="39"/>
      <c r="I9" s="478" t="s">
        <v>483</v>
      </c>
      <c r="J9" s="372"/>
      <c r="K9" s="373"/>
      <c r="N9" s="39"/>
      <c r="O9" s="478" t="s">
        <v>483</v>
      </c>
      <c r="P9" s="35"/>
      <c r="Q9" s="35"/>
      <c r="R9" s="35"/>
      <c r="S9" s="40"/>
      <c r="W9" s="39"/>
      <c r="X9" s="478" t="s">
        <v>483</v>
      </c>
      <c r="Y9" s="35"/>
      <c r="Z9" s="35"/>
      <c r="AA9" s="35"/>
      <c r="AB9" s="35"/>
      <c r="AC9" s="40"/>
      <c r="AF9" s="39"/>
      <c r="AG9" s="478" t="s">
        <v>483</v>
      </c>
      <c r="AH9" s="35"/>
      <c r="AI9" s="35"/>
      <c r="AJ9" s="35"/>
      <c r="AK9" s="35"/>
      <c r="AO9" s="39"/>
      <c r="AP9" s="478" t="s">
        <v>483</v>
      </c>
      <c r="AQ9" s="35"/>
      <c r="AR9" s="35"/>
      <c r="AS9" s="35"/>
      <c r="AT9" s="35"/>
      <c r="AU9" s="380"/>
    </row>
    <row r="10" spans="1:49">
      <c r="A10" s="39"/>
      <c r="B10" s="35"/>
      <c r="C10" s="361">
        <v>0.9</v>
      </c>
      <c r="D10" s="35" t="s">
        <v>434</v>
      </c>
      <c r="E10" s="35"/>
      <c r="F10" s="35"/>
      <c r="G10" s="40"/>
      <c r="H10" s="39"/>
      <c r="I10" s="35" t="str">
        <f>I7</f>
        <v>NG</v>
      </c>
      <c r="J10" s="372">
        <f>J7/K3</f>
        <v>97.600000000000136</v>
      </c>
      <c r="K10" s="373">
        <f>K7</f>
        <v>10.528301886792452</v>
      </c>
      <c r="N10" s="382"/>
      <c r="O10" s="478" t="s">
        <v>434</v>
      </c>
      <c r="P10" s="380">
        <f>P7/Q3/R3/S3</f>
        <v>97.697697697697834</v>
      </c>
      <c r="Q10" s="380">
        <f>Q7/R3/S3</f>
        <v>2.1077681455039947</v>
      </c>
      <c r="R10" s="380">
        <f>R7/S3</f>
        <v>1.0010010010010011</v>
      </c>
      <c r="S10" s="383">
        <f>S7</f>
        <v>0</v>
      </c>
      <c r="W10" s="382"/>
      <c r="X10" s="478" t="s">
        <v>434</v>
      </c>
      <c r="Y10" s="380">
        <f>Y7/Z3/AB3/AC3</f>
        <v>97.600000000000136</v>
      </c>
      <c r="Z10" s="380">
        <f>Z7/AB3/AC3</f>
        <v>96.039999999999978</v>
      </c>
      <c r="AA10" s="381" t="s">
        <v>503</v>
      </c>
      <c r="AB10" s="380">
        <f>AB7/AC3</f>
        <v>10.534591194968552</v>
      </c>
      <c r="AC10" s="383">
        <f>AC7</f>
        <v>0</v>
      </c>
      <c r="AF10" s="382"/>
      <c r="AG10" s="478" t="s">
        <v>434</v>
      </c>
      <c r="AH10" s="380">
        <f>Y10</f>
        <v>97.600000000000136</v>
      </c>
      <c r="AI10" s="380">
        <f>AI7/AK3</f>
        <v>0</v>
      </c>
      <c r="AJ10" s="381" t="s">
        <v>503</v>
      </c>
      <c r="AK10" s="380">
        <f>AC10</f>
        <v>0</v>
      </c>
      <c r="AO10" s="382"/>
      <c r="AP10" s="478" t="s">
        <v>434</v>
      </c>
      <c r="AQ10" s="380">
        <f>AH10</f>
        <v>97.600000000000136</v>
      </c>
      <c r="AR10" s="380">
        <f>D31/D9*K10</f>
        <v>5.2641509433962259</v>
      </c>
      <c r="AS10" s="380">
        <f>AS7/AU3</f>
        <v>0</v>
      </c>
      <c r="AT10" s="381" t="s">
        <v>503</v>
      </c>
      <c r="AU10" s="380">
        <f t="shared" ref="AU10:AU16" si="0">AK10</f>
        <v>0</v>
      </c>
    </row>
    <row r="11" spans="1:49">
      <c r="A11" s="39"/>
      <c r="B11" s="35"/>
      <c r="C11" s="361">
        <v>0.1</v>
      </c>
      <c r="D11" s="35" t="s">
        <v>446</v>
      </c>
      <c r="E11" s="35"/>
      <c r="F11" s="35"/>
      <c r="G11" s="40"/>
      <c r="H11" s="39"/>
      <c r="I11" s="35" t="str">
        <f>I8</f>
        <v>电</v>
      </c>
      <c r="J11" s="372">
        <f>J8/K3</f>
        <v>0</v>
      </c>
      <c r="K11" s="373">
        <f>K8</f>
        <v>1.1698113207547169</v>
      </c>
      <c r="N11" s="382"/>
      <c r="O11" s="478" t="s">
        <v>473</v>
      </c>
      <c r="P11" s="380">
        <f>P8/Q3/R3/S3</f>
        <v>0</v>
      </c>
      <c r="Q11" s="380">
        <f>Q8/R3/S3</f>
        <v>0.23419646061155497</v>
      </c>
      <c r="R11" s="380">
        <f>R8/S3</f>
        <v>29.999999999999915</v>
      </c>
      <c r="S11" s="383">
        <f>S8</f>
        <v>0</v>
      </c>
      <c r="W11" s="382"/>
      <c r="X11" s="478" t="s">
        <v>473</v>
      </c>
      <c r="Y11" s="380">
        <f>Y8/Z3/AB3/AC3</f>
        <v>0</v>
      </c>
      <c r="Z11" s="380">
        <f>Z8/AB3/AC3</f>
        <v>1.9600000000000013</v>
      </c>
      <c r="AA11" s="381" t="s">
        <v>504</v>
      </c>
      <c r="AB11" s="380">
        <f>AB8/AC3</f>
        <v>0</v>
      </c>
      <c r="AC11" s="383">
        <f>AC8</f>
        <v>2.6205450733752618</v>
      </c>
      <c r="AF11" s="382"/>
      <c r="AG11" s="478" t="s">
        <v>473</v>
      </c>
      <c r="AH11" s="380">
        <f>Y11</f>
        <v>0</v>
      </c>
      <c r="AI11" s="380">
        <f>AI8/AK3</f>
        <v>48.141214228403229</v>
      </c>
      <c r="AJ11" s="381" t="s">
        <v>504</v>
      </c>
      <c r="AK11" s="380">
        <f>AC11</f>
        <v>2.6205450733752618</v>
      </c>
      <c r="AO11" s="382"/>
      <c r="AP11" s="478" t="s">
        <v>473</v>
      </c>
      <c r="AQ11" s="380">
        <f>AH11</f>
        <v>0</v>
      </c>
      <c r="AR11" s="380">
        <f>D31/D9*K11</f>
        <v>0.58490566037735847</v>
      </c>
      <c r="AS11" s="380">
        <f>AS8/AU3</f>
        <v>48.10000000000003</v>
      </c>
      <c r="AT11" s="381" t="s">
        <v>504</v>
      </c>
      <c r="AU11" s="380">
        <f t="shared" si="0"/>
        <v>2.6205450733752618</v>
      </c>
    </row>
    <row r="12" spans="1:49" ht="14.25" thickBot="1">
      <c r="A12" s="41"/>
      <c r="B12" s="451" t="s">
        <v>470</v>
      </c>
      <c r="C12" s="450">
        <v>372</v>
      </c>
      <c r="D12" s="451" t="s">
        <v>471</v>
      </c>
      <c r="E12" s="42"/>
      <c r="F12" s="42"/>
      <c r="G12" s="43"/>
      <c r="H12" s="39"/>
      <c r="I12" s="35"/>
      <c r="J12" s="372"/>
      <c r="K12" s="373"/>
      <c r="N12" s="382"/>
      <c r="O12" s="35"/>
      <c r="P12" s="35"/>
      <c r="Q12" s="35"/>
      <c r="R12" s="35"/>
      <c r="S12" s="40"/>
      <c r="W12" s="382"/>
      <c r="X12" s="35"/>
      <c r="Y12" s="35"/>
      <c r="Z12" s="35"/>
      <c r="AA12" s="35"/>
      <c r="AB12" s="35"/>
      <c r="AC12" s="40"/>
      <c r="AF12" s="382"/>
      <c r="AG12" s="35"/>
      <c r="AH12" s="35"/>
      <c r="AI12" s="35"/>
      <c r="AJ12" s="35"/>
      <c r="AK12" s="35"/>
      <c r="AO12" s="382"/>
      <c r="AP12" s="35"/>
      <c r="AQ12" s="35"/>
      <c r="AR12" s="35"/>
      <c r="AS12" s="35"/>
      <c r="AT12" s="35"/>
      <c r="AU12" s="380"/>
    </row>
    <row r="13" spans="1:49" ht="14.25" thickBot="1">
      <c r="A13" s="39"/>
      <c r="B13" s="35"/>
      <c r="C13" s="35"/>
      <c r="D13" s="35"/>
      <c r="E13" s="35"/>
      <c r="F13" s="35"/>
      <c r="G13" s="40"/>
      <c r="H13" s="412" t="s">
        <v>487</v>
      </c>
      <c r="I13" s="478" t="s">
        <v>492</v>
      </c>
      <c r="J13" s="372">
        <f>J10*'LC factor'!H15+'NG-based (+2)'!J11*'LC factor'!L15</f>
        <v>4.4367237047770356</v>
      </c>
      <c r="K13" s="373">
        <f>K10*'LC factor'!H15+K11*'LC factor'!L15</f>
        <v>3.2947116843928073</v>
      </c>
      <c r="L13">
        <v>0</v>
      </c>
      <c r="M13" s="366">
        <f>(J13+K13+L13)/1000</f>
        <v>7.7314353891698422E-3</v>
      </c>
      <c r="N13" s="412" t="s">
        <v>487</v>
      </c>
      <c r="O13" s="478" t="s">
        <v>492</v>
      </c>
      <c r="P13" s="35">
        <f>P10*'LC factor'!H15+P11*'LC factor'!L15</f>
        <v>4.4411648696466823</v>
      </c>
      <c r="Q13" s="35">
        <f>Q10*'LC factor'!B8+Q11*'LC factor'!B12</f>
        <v>0.65960193881737883</v>
      </c>
      <c r="R13" s="35">
        <f>R10*'LC factor'!B8+R11*'LC factor'!B12</f>
        <v>72.265192926157269</v>
      </c>
      <c r="S13" s="40">
        <f>S10*'LC factor'!B8+S11*'LC factor'!B12</f>
        <v>0</v>
      </c>
      <c r="T13">
        <v>0</v>
      </c>
      <c r="U13" s="366">
        <f>P13+Q13+R13+S13+T13</f>
        <v>77.365959734621327</v>
      </c>
      <c r="V13" s="366"/>
      <c r="W13" s="412" t="s">
        <v>487</v>
      </c>
      <c r="X13" s="478" t="s">
        <v>492</v>
      </c>
      <c r="Y13" s="35">
        <f>Y10*'LC factor'!B8+Y11*'LC factor'!B12</f>
        <v>4.4367237047770356</v>
      </c>
      <c r="Z13" s="35">
        <f>Z10*'LC factor'!B8+Z11*'LC factor'!B12</f>
        <v>9.0841618856083652</v>
      </c>
      <c r="AA13" s="35"/>
      <c r="AB13" s="35">
        <f>AB10*'LC factor'!B11+'LC factor'!B9*'NG-based (+2)'!AB11</f>
        <v>0.60334520475255704</v>
      </c>
      <c r="AC13" s="40">
        <f>AC10*'LC factor'!B11+'LC factor'!B9*'NG-based (+2)'!AC11</f>
        <v>0.18942893946089503</v>
      </c>
      <c r="AD13">
        <v>0</v>
      </c>
      <c r="AE13" s="366">
        <f>Y13+Z13+AB13+AC13+AD13</f>
        <v>14.313659734598852</v>
      </c>
      <c r="AF13" s="412" t="s">
        <v>487</v>
      </c>
      <c r="AG13" s="478" t="s">
        <v>492</v>
      </c>
      <c r="AH13" s="380">
        <f>Y13</f>
        <v>4.4367237047770356</v>
      </c>
      <c r="AI13" s="35">
        <f>AI10*'LC factor'!B8+AI11*'LC factor'!B12</f>
        <v>115.89145095652124</v>
      </c>
      <c r="AJ13" s="35"/>
      <c r="AK13" s="380">
        <f>AC13</f>
        <v>0.18942893946089503</v>
      </c>
      <c r="AL13">
        <v>0</v>
      </c>
      <c r="AM13" s="366">
        <f>AH13+AI13+AK13+AL13</f>
        <v>120.51760360075917</v>
      </c>
      <c r="AN13" s="366"/>
      <c r="AO13" s="412" t="s">
        <v>487</v>
      </c>
      <c r="AP13" s="478" t="s">
        <v>492</v>
      </c>
      <c r="AQ13" s="380">
        <f>AH13</f>
        <v>4.4367237047770356</v>
      </c>
      <c r="AR13" s="380">
        <f>D31/D9*K13</f>
        <v>1.6473558421964036</v>
      </c>
      <c r="AS13" s="35">
        <f>AS10*'LC factor'!B8+AS11*'LC factor'!B12</f>
        <v>115.79223499767485</v>
      </c>
      <c r="AT13" s="35"/>
      <c r="AU13" s="380">
        <f t="shared" si="0"/>
        <v>0.18942893946089503</v>
      </c>
      <c r="AV13">
        <v>0</v>
      </c>
      <c r="AW13" s="366">
        <f>AQ13+AR13+AS13+AU13+AV13</f>
        <v>122.06574348410919</v>
      </c>
    </row>
    <row r="14" spans="1:49">
      <c r="A14" s="36" t="s">
        <v>440</v>
      </c>
      <c r="B14" s="37" t="s">
        <v>441</v>
      </c>
      <c r="C14" s="37"/>
      <c r="D14" s="449">
        <f>'Key Input'!E9</f>
        <v>0.96900000000000008</v>
      </c>
      <c r="E14" s="37"/>
      <c r="F14" s="37"/>
      <c r="G14" s="38"/>
      <c r="H14" s="412" t="s">
        <v>488</v>
      </c>
      <c r="I14" s="478" t="s">
        <v>492</v>
      </c>
      <c r="J14" s="372">
        <f>J10*'LC factor'!H16+'NG-based (+2)'!J11*'LC factor'!L16</f>
        <v>103.26319429789575</v>
      </c>
      <c r="K14" s="373">
        <f>K10*'LC factor'!H16+K11*'LC factor'!L16</f>
        <v>11.358165075942514</v>
      </c>
      <c r="L14">
        <v>1000</v>
      </c>
      <c r="M14" s="366">
        <f>(J14+K14+L14)/1000</f>
        <v>1.1146213593738383</v>
      </c>
      <c r="N14" s="412" t="s">
        <v>488</v>
      </c>
      <c r="O14" s="478" t="s">
        <v>492</v>
      </c>
      <c r="P14" s="35">
        <f>P10*'LC factor'!C8+P11*'LC factor'!C12</f>
        <v>103.36656085875451</v>
      </c>
      <c r="Q14" s="35">
        <f>Q10*'LC factor'!C8+Q11*'LC factor'!C12</f>
        <v>2.2739069221106143</v>
      </c>
      <c r="R14" s="35">
        <f>R10*'LC factor'!C8+R11*'LC factor'!C12</f>
        <v>6.6744353800128113</v>
      </c>
      <c r="S14" s="40">
        <f>S10*'LC factor'!C8+S11*'LC factor'!C12</f>
        <v>0</v>
      </c>
      <c r="T14">
        <v>1000</v>
      </c>
      <c r="U14" s="366">
        <f>P14+Q14+R14+S14+T14</f>
        <v>1112.314903160878</v>
      </c>
      <c r="V14" s="366"/>
      <c r="W14" s="412" t="s">
        <v>488</v>
      </c>
      <c r="X14" s="478" t="s">
        <v>492</v>
      </c>
      <c r="Y14" s="35">
        <f>Y10*'LC factor'!C8+Y11*'LC factor'!C12</f>
        <v>103.26319429789575</v>
      </c>
      <c r="Z14" s="35">
        <f>Z10*'LC factor'!C8+Z11*'LC factor'!C12</f>
        <v>101.9795456770043</v>
      </c>
      <c r="AA14" s="35"/>
      <c r="AB14" s="35">
        <f>AB10*'LC factor'!C11+'LC factor'!C9*'NG-based (+2)'!AB11</f>
        <v>0.47033465016206216</v>
      </c>
      <c r="AC14" s="40">
        <f>AC10*'LC factor'!C11+'LC factor'!C9*'NG-based (+2)'!AC11</f>
        <v>0.12992396505119111</v>
      </c>
      <c r="AD14">
        <v>1000</v>
      </c>
      <c r="AE14" s="366">
        <f>Y14+Z14+AB14+AC14+AD14</f>
        <v>1205.8429985901134</v>
      </c>
      <c r="AF14" s="412" t="s">
        <v>488</v>
      </c>
      <c r="AG14" s="478" t="s">
        <v>492</v>
      </c>
      <c r="AH14" s="380">
        <f>Y14</f>
        <v>103.26319429789575</v>
      </c>
      <c r="AI14" s="35">
        <f>AI10*'LC factor'!C8+AI11*'LC factor'!C12</f>
        <v>9.0109950756727368</v>
      </c>
      <c r="AJ14" s="35"/>
      <c r="AK14" s="380">
        <f>AC14</f>
        <v>0.12992396505119111</v>
      </c>
      <c r="AL14">
        <v>1000</v>
      </c>
      <c r="AM14" s="366">
        <f>AH14+AI14+AK14+AL14</f>
        <v>1112.4041133386197</v>
      </c>
      <c r="AN14" s="366"/>
      <c r="AO14" s="412" t="s">
        <v>488</v>
      </c>
      <c r="AP14" s="478" t="s">
        <v>492</v>
      </c>
      <c r="AQ14" s="380">
        <f>AH14</f>
        <v>103.26319429789575</v>
      </c>
      <c r="AR14" s="380">
        <f>D31/D9*K14</f>
        <v>5.6790825379712571</v>
      </c>
      <c r="AS14" s="35">
        <f>AS10*'LC factor'!C8+AS11*'LC factor'!C12</f>
        <v>9.0032806626663078</v>
      </c>
      <c r="AT14" s="35"/>
      <c r="AU14" s="380">
        <f t="shared" si="0"/>
        <v>0.12992396505119111</v>
      </c>
      <c r="AV14">
        <v>1000</v>
      </c>
      <c r="AW14" s="366">
        <f>AQ14+AR14+AS14+AU14+AV14</f>
        <v>1118.0754814635845</v>
      </c>
    </row>
    <row r="15" spans="1:49">
      <c r="A15" s="39"/>
      <c r="B15" s="35" t="s">
        <v>442</v>
      </c>
      <c r="C15" s="35"/>
      <c r="D15" s="64">
        <v>1E-3</v>
      </c>
      <c r="E15" s="35"/>
      <c r="F15" s="35"/>
      <c r="G15" s="40"/>
      <c r="H15" s="412" t="s">
        <v>489</v>
      </c>
      <c r="I15" s="478" t="s">
        <v>492</v>
      </c>
      <c r="J15" s="372">
        <f>J10*'LC factor'!H17+'NG-based (+2)'!J11*'LC factor'!L17</f>
        <v>4.744992867206685</v>
      </c>
      <c r="K15" s="373">
        <f>K10*'LC factor'!H17+K11*'LC factor'!L17</f>
        <v>0.59146237839919946</v>
      </c>
      <c r="L15">
        <v>0</v>
      </c>
      <c r="M15" s="366">
        <f>(J15+K15+L15)/1000</f>
        <v>5.336455245605885E-3</v>
      </c>
      <c r="N15" s="412" t="s">
        <v>489</v>
      </c>
      <c r="O15" s="478" t="s">
        <v>492</v>
      </c>
      <c r="P15" s="35">
        <f>P10*'LC factor'!D8+P11*'LC factor'!D12</f>
        <v>4.7497426098165016</v>
      </c>
      <c r="Q15" s="35">
        <f>Q10*'LC factor'!D8+Q11*'LC factor'!D12</f>
        <v>0.11841088656640632</v>
      </c>
      <c r="R15" s="35">
        <f>R10*'LC factor'!D8+R11*'LC factor'!D12</f>
        <v>2.090296333664424</v>
      </c>
      <c r="S15" s="40">
        <f>S10*'LC factor'!D8+S11*'LC factor'!D12</f>
        <v>0</v>
      </c>
      <c r="T15">
        <v>0</v>
      </c>
      <c r="U15" s="366">
        <f>P15+Q15+R15+S15+T15</f>
        <v>6.9584498300473321</v>
      </c>
      <c r="V15" s="366"/>
      <c r="W15" s="412" t="s">
        <v>489</v>
      </c>
      <c r="X15" s="478" t="s">
        <v>492</v>
      </c>
      <c r="Y15" s="35">
        <f>Y10*'LC factor'!D8+Y11*'LC factor'!D12</f>
        <v>4.744992867206685</v>
      </c>
      <c r="Z15" s="35">
        <f>Z10*'LC factor'!D8+Z11*'LC factor'!D12</f>
        <v>4.8025373227203927</v>
      </c>
      <c r="AA15" s="35"/>
      <c r="AB15" s="35">
        <f>AB10*'LC factor'!D11+'LC factor'!D9*'NG-based (+2)'!AB11</f>
        <v>11.619866999981571</v>
      </c>
      <c r="AC15" s="40">
        <f>AC10*'LC factor'!D11+'LC factor'!D9*'NG-based (+2)'!AC11</f>
        <v>3.0063642967888056</v>
      </c>
      <c r="AD15">
        <v>0</v>
      </c>
      <c r="AE15" s="366">
        <f>Y15+Z15+AB15+AC15+AD15</f>
        <v>24.173761486697455</v>
      </c>
      <c r="AF15" s="412" t="s">
        <v>489</v>
      </c>
      <c r="AG15" s="478" t="s">
        <v>492</v>
      </c>
      <c r="AH15" s="380">
        <f>Y15</f>
        <v>4.744992867206685</v>
      </c>
      <c r="AI15" s="35">
        <f>AI10*'LC factor'!D8+AI11*'LC factor'!D12</f>
        <v>3.2762197455020767</v>
      </c>
      <c r="AJ15" s="35"/>
      <c r="AK15" s="380">
        <f>AC15</f>
        <v>3.0063642967888056</v>
      </c>
      <c r="AL15">
        <v>0</v>
      </c>
      <c r="AM15" s="366">
        <f>AH15+AI15+AK15+AL15</f>
        <v>11.027576909497569</v>
      </c>
      <c r="AN15" s="366"/>
      <c r="AO15" s="412" t="s">
        <v>489</v>
      </c>
      <c r="AP15" s="478" t="s">
        <v>492</v>
      </c>
      <c r="AQ15" s="380">
        <f>AH15</f>
        <v>4.744992867206685</v>
      </c>
      <c r="AR15" s="380">
        <f>D31/D9*K15</f>
        <v>0.29573118919959973</v>
      </c>
      <c r="AS15" s="35">
        <f>AS10*'LC factor'!D8+AS11*'LC factor'!D12</f>
        <v>3.2734149373755188</v>
      </c>
      <c r="AT15" s="35"/>
      <c r="AU15" s="380">
        <f t="shared" si="0"/>
        <v>3.0063642967888056</v>
      </c>
      <c r="AV15">
        <v>0</v>
      </c>
      <c r="AW15" s="366">
        <f>AQ15+AR15+AS15+AU15+AV15</f>
        <v>11.32050329057061</v>
      </c>
    </row>
    <row r="16" spans="1:49">
      <c r="A16" s="39"/>
      <c r="B16" s="35" t="s">
        <v>443</v>
      </c>
      <c r="C16" s="35"/>
      <c r="D16" s="64">
        <f>1-D14-D15</f>
        <v>2.9999999999999916E-2</v>
      </c>
      <c r="E16" s="35"/>
      <c r="F16" s="35"/>
      <c r="G16" s="40"/>
      <c r="H16" s="412" t="s">
        <v>490</v>
      </c>
      <c r="I16" s="478" t="s">
        <v>492</v>
      </c>
      <c r="J16" s="372">
        <f>J13+J14+J15</f>
        <v>112.44491086987948</v>
      </c>
      <c r="K16" s="373">
        <f>K13+K14+K15</f>
        <v>15.244339138734521</v>
      </c>
      <c r="L16" s="373">
        <f>L13+L14+L15</f>
        <v>1000</v>
      </c>
      <c r="M16" s="366">
        <f>(J16+K16+L16)/1000</f>
        <v>1.127689250008614</v>
      </c>
      <c r="N16" s="412" t="s">
        <v>490</v>
      </c>
      <c r="O16" s="478" t="s">
        <v>492</v>
      </c>
      <c r="P16" s="372">
        <f>P13+P14+P15</f>
        <v>112.5574683382177</v>
      </c>
      <c r="Q16" s="372">
        <f>Q13+Q14+Q15</f>
        <v>3.0519197474943995</v>
      </c>
      <c r="R16" s="372">
        <f>R13+R14+R15</f>
        <v>81.029924639834505</v>
      </c>
      <c r="S16" s="373">
        <f>S13+S14+S15</f>
        <v>0</v>
      </c>
      <c r="T16" s="373">
        <f>T13+T14+T15</f>
        <v>1000</v>
      </c>
      <c r="U16" s="366">
        <f>P16+Q16+R16+S16+T16</f>
        <v>1196.6393127255467</v>
      </c>
      <c r="V16" s="366"/>
      <c r="W16" s="412" t="s">
        <v>490</v>
      </c>
      <c r="X16" s="478" t="s">
        <v>492</v>
      </c>
      <c r="Y16" s="372">
        <f>Y13+Y14+Y15</f>
        <v>112.44491086987948</v>
      </c>
      <c r="Z16" s="372">
        <f>Z13+Z14+Z15</f>
        <v>115.86624488533306</v>
      </c>
      <c r="AA16" s="372"/>
      <c r="AB16" s="372">
        <f>AB13+AB14+AB15</f>
        <v>12.693546854896191</v>
      </c>
      <c r="AC16" s="373">
        <f>AC13+AC14+AC15</f>
        <v>3.3257172013008915</v>
      </c>
      <c r="AD16" s="373">
        <f>AD13+AD14+AD15</f>
        <v>1000</v>
      </c>
      <c r="AE16" s="366">
        <f>Y16+Z16+AB16+AC16+AD16</f>
        <v>1244.3304198114097</v>
      </c>
      <c r="AF16" s="412" t="s">
        <v>490</v>
      </c>
      <c r="AG16" s="478" t="s">
        <v>492</v>
      </c>
      <c r="AH16" s="380">
        <f>Y16</f>
        <v>112.44491086987948</v>
      </c>
      <c r="AI16" s="372">
        <f>AI13+AI14+AI15</f>
        <v>128.17866577769607</v>
      </c>
      <c r="AJ16" s="372"/>
      <c r="AK16" s="380">
        <f>AC16</f>
        <v>3.3257172013008915</v>
      </c>
      <c r="AL16" s="373">
        <f>AL13+AL14+AL15</f>
        <v>1000</v>
      </c>
      <c r="AM16" s="366">
        <f>AH16+AI16+AK16+AL16</f>
        <v>1243.9492938488766</v>
      </c>
      <c r="AN16" s="366"/>
      <c r="AO16" s="412" t="s">
        <v>490</v>
      </c>
      <c r="AP16" s="478" t="s">
        <v>492</v>
      </c>
      <c r="AQ16" s="380">
        <f>AH16</f>
        <v>112.44491086987948</v>
      </c>
      <c r="AR16" s="380">
        <f>D31/D9*K16</f>
        <v>7.6221695693672604</v>
      </c>
      <c r="AS16" s="372">
        <f>AS13+AS14+AS15</f>
        <v>128.06893059771667</v>
      </c>
      <c r="AT16" s="372"/>
      <c r="AU16" s="380">
        <f t="shared" si="0"/>
        <v>3.3257172013008915</v>
      </c>
      <c r="AV16" s="373">
        <f>AV13+AV14+AV15</f>
        <v>1000</v>
      </c>
      <c r="AW16" s="366">
        <f>AQ16+AR16+AS16+AU16+AV16</f>
        <v>1251.4617282382642</v>
      </c>
    </row>
    <row r="17" spans="1:49">
      <c r="A17" s="39"/>
      <c r="B17" s="478" t="s">
        <v>476</v>
      </c>
      <c r="C17" s="35"/>
      <c r="D17" s="367">
        <f>'Key Input'!E8</f>
        <v>300</v>
      </c>
      <c r="E17" s="35" t="s">
        <v>449</v>
      </c>
      <c r="F17" s="35" t="s">
        <v>455</v>
      </c>
      <c r="G17" s="40"/>
      <c r="H17" s="39"/>
      <c r="I17" s="35"/>
      <c r="J17" s="372"/>
      <c r="K17" s="373"/>
      <c r="M17" s="438">
        <f>1/M16</f>
        <v>0.88676911657388002</v>
      </c>
      <c r="N17" s="39"/>
      <c r="O17" s="35"/>
      <c r="P17" s="35"/>
      <c r="Q17" s="35"/>
      <c r="R17" s="35"/>
      <c r="S17" s="40"/>
      <c r="U17" s="465">
        <f>1000/U16</f>
        <v>0.83567369830290161</v>
      </c>
      <c r="V17" s="465"/>
      <c r="W17" s="39"/>
      <c r="X17" s="35"/>
      <c r="Y17" s="35"/>
      <c r="Z17" s="35"/>
      <c r="AA17" s="35"/>
      <c r="AB17" s="35"/>
      <c r="AC17" s="40"/>
      <c r="AE17" s="465">
        <f>1000/AE16</f>
        <v>0.80364506410729686</v>
      </c>
      <c r="AF17" s="39"/>
      <c r="AG17" s="35"/>
      <c r="AH17" s="35"/>
      <c r="AI17" s="35"/>
      <c r="AJ17" s="35"/>
      <c r="AK17" s="35"/>
      <c r="AM17" s="465">
        <f>1000/AM16</f>
        <v>0.80389128796875764</v>
      </c>
      <c r="AN17" s="465"/>
      <c r="AO17" s="39"/>
      <c r="AP17" s="35"/>
      <c r="AQ17" s="35"/>
      <c r="AR17" s="35"/>
      <c r="AS17" s="35"/>
      <c r="AT17" s="35"/>
      <c r="AU17" s="380"/>
      <c r="AW17" s="465">
        <f>1000/AW16</f>
        <v>0.79906558661425664</v>
      </c>
    </row>
    <row r="18" spans="1:49">
      <c r="A18" s="39"/>
      <c r="B18" s="35"/>
      <c r="C18" s="361">
        <v>0.9</v>
      </c>
      <c r="D18" s="35" t="s">
        <v>434</v>
      </c>
      <c r="E18" s="35"/>
      <c r="F18" s="35"/>
      <c r="G18" s="40"/>
      <c r="H18" s="412" t="s">
        <v>491</v>
      </c>
      <c r="I18" s="529" t="s">
        <v>493</v>
      </c>
      <c r="J18" s="372">
        <f>J10*'LC factor'!H18+J11*'LC factor'!L18</f>
        <v>6582.083881740512</v>
      </c>
      <c r="K18" s="373">
        <f>K10*'LC factor'!H18+K11*'LC factor'!L18</f>
        <v>958.25792612362227</v>
      </c>
      <c r="L18" s="534">
        <f>57700*0.99</f>
        <v>57123</v>
      </c>
      <c r="M18" s="366">
        <f>(J18+K18+L18)/1000</f>
        <v>64.663341807864128</v>
      </c>
      <c r="N18" s="412" t="s">
        <v>491</v>
      </c>
      <c r="O18" s="529" t="s">
        <v>493</v>
      </c>
      <c r="P18" s="35">
        <f>P10*'LC factor'!H18+P11*'LC factor'!L18</f>
        <v>6588.672554294807</v>
      </c>
      <c r="Q18" s="529">
        <f>Q10*'LC factor'!H18+Q11*'LC factor'!L18</f>
        <v>191.84342865337786</v>
      </c>
      <c r="R18" s="529">
        <f>R10*'LC factor'!H18+R11*'LC factor'!L18</f>
        <v>6433.5522748543035</v>
      </c>
      <c r="S18" s="371">
        <f>S10*'LC factor'!H18+S11*'LC factor'!L18</f>
        <v>0</v>
      </c>
      <c r="T18" s="534">
        <f>57700*0.99</f>
        <v>57123</v>
      </c>
      <c r="W18" s="412" t="s">
        <v>491</v>
      </c>
      <c r="X18" s="529" t="s">
        <v>493</v>
      </c>
      <c r="Y18" s="35">
        <f>Y10*'LC factor'!H18+Y11*'LC factor'!L18</f>
        <v>6582.083881740512</v>
      </c>
      <c r="Z18" s="529">
        <f>Z10*'LC factor'!H18+Z11*'LC factor'!L18</f>
        <v>6892.7934077304808</v>
      </c>
      <c r="AA18" s="529"/>
      <c r="AB18" s="529">
        <f>AB10*'LC factor'!L11+'LC factor'!L9*AB11</f>
        <v>952.82656318915792</v>
      </c>
      <c r="AC18" s="371">
        <f>AC10*'LC factor'!L11+'LC factor'!L9*AC11</f>
        <v>240.82008388281974</v>
      </c>
      <c r="AD18" s="534">
        <f>57700*0.99</f>
        <v>57123</v>
      </c>
      <c r="AF18" s="412" t="s">
        <v>491</v>
      </c>
      <c r="AG18" s="529" t="s">
        <v>493</v>
      </c>
      <c r="AH18" s="380">
        <f>Y18</f>
        <v>6582.083881740512</v>
      </c>
      <c r="AI18" s="529">
        <f>AI10*'LC factor'!H18+AI11*'LC factor'!L18</f>
        <v>10215.638487182388</v>
      </c>
      <c r="AJ18" s="529"/>
      <c r="AK18" s="380">
        <f>AC18</f>
        <v>240.82008388281974</v>
      </c>
      <c r="AL18" s="534">
        <f>57700*0.99</f>
        <v>57123</v>
      </c>
      <c r="AO18" s="412" t="s">
        <v>491</v>
      </c>
      <c r="AP18" s="529" t="s">
        <v>493</v>
      </c>
      <c r="AQ18" s="380">
        <f>AH18</f>
        <v>6582.083881740512</v>
      </c>
      <c r="AR18" s="380">
        <f>D31/D9*K18</f>
        <v>479.12896306181113</v>
      </c>
      <c r="AS18" s="529">
        <f>AS10*'LC factor'!H18+AS11*'LC factor'!L18</f>
        <v>10206.892765566443</v>
      </c>
      <c r="AT18" s="529"/>
      <c r="AU18" s="380">
        <f t="shared" ref="AU18:AU21" si="1">AK18</f>
        <v>240.82008388281974</v>
      </c>
      <c r="AV18" s="534">
        <f>57700*0.99</f>
        <v>57123</v>
      </c>
    </row>
    <row r="19" spans="1:49" ht="14.25" thickBot="1">
      <c r="A19" s="41"/>
      <c r="B19" s="42"/>
      <c r="C19" s="454">
        <v>0.1</v>
      </c>
      <c r="D19" s="42" t="s">
        <v>446</v>
      </c>
      <c r="E19" s="42"/>
      <c r="F19" s="42"/>
      <c r="G19" s="43"/>
      <c r="H19" s="412" t="s">
        <v>494</v>
      </c>
      <c r="I19" s="529" t="s">
        <v>493</v>
      </c>
      <c r="J19" s="534">
        <f>(J10*'LC factor'!H19+J11*'LC factor'!L19)/1+(72/F5*D5)</f>
        <v>81.407672954467188</v>
      </c>
      <c r="K19" s="373">
        <f>(K10*'LC factor'!H19+K11*'LC factor'!L19)/1</f>
        <v>2.1781169934031439</v>
      </c>
      <c r="L19">
        <v>0</v>
      </c>
      <c r="M19" s="366">
        <f>(J19+K19+L19)/1000</f>
        <v>8.3585789947870331E-2</v>
      </c>
      <c r="N19" s="412" t="s">
        <v>494</v>
      </c>
      <c r="O19" s="529" t="s">
        <v>493</v>
      </c>
      <c r="P19" s="529">
        <f>(P10*'LC factor'!H19+P11*'LC factor'!L19)/1+(72/F5*D5)</f>
        <v>81.417090044511696</v>
      </c>
      <c r="Q19" s="529">
        <f>(Q10*'LC factor'!H19+Q11*'LC factor'!L19)/1</f>
        <v>0.43605945813876762</v>
      </c>
      <c r="R19" s="529">
        <f>(R10*'LC factor'!H19+R11*'LC factor'!L19)/1</f>
        <v>29.929323411761668</v>
      </c>
      <c r="S19" s="371">
        <f>(S10*'LC factor'!H19+S11*'LC factor'!L19)/1</f>
        <v>0</v>
      </c>
      <c r="T19">
        <v>0</v>
      </c>
      <c r="W19" s="412" t="s">
        <v>494</v>
      </c>
      <c r="X19" s="529" t="s">
        <v>493</v>
      </c>
      <c r="Y19" s="529">
        <f>(Y10*'LC factor'!H19+Y11*'LC factor'!L19)/1+(72/F5*D5)</f>
        <v>81.407672954467188</v>
      </c>
      <c r="Z19" s="529">
        <f>(Z10*'LC factor'!H19+Z11*'LC factor'!L19)/1</f>
        <v>11.206383084460368</v>
      </c>
      <c r="AA19" s="529"/>
      <c r="AB19" s="529">
        <f>AB10*'LC factor'!M11+'LC factor'!M9*AB11</f>
        <v>0.40893874414395043</v>
      </c>
      <c r="AC19" s="371">
        <f>AC10*'LC factor'!M19+'LC factor'!M19*AC11</f>
        <v>0</v>
      </c>
      <c r="AD19">
        <v>0</v>
      </c>
      <c r="AF19" s="412" t="s">
        <v>494</v>
      </c>
      <c r="AG19" s="529" t="s">
        <v>493</v>
      </c>
      <c r="AH19" s="380">
        <f>Y19</f>
        <v>81.407672954467188</v>
      </c>
      <c r="AI19" s="529">
        <f>(AI10*'LC factor'!H19+AI11*'LC factor'!L19)/1</f>
        <v>47.872966301316048</v>
      </c>
      <c r="AJ19" s="529"/>
      <c r="AK19" s="380">
        <f>AC19</f>
        <v>0</v>
      </c>
      <c r="AL19">
        <v>0</v>
      </c>
      <c r="AO19" s="412" t="s">
        <v>494</v>
      </c>
      <c r="AP19" s="529" t="s">
        <v>493</v>
      </c>
      <c r="AQ19" s="380">
        <f>AH19</f>
        <v>81.407672954467188</v>
      </c>
      <c r="AR19" s="380">
        <f>D31/D9*K19</f>
        <v>1.089058496701572</v>
      </c>
      <c r="AS19" s="529">
        <f>(AS10*'LC factor'!H19+AS11*'LC factor'!L19)/1</f>
        <v>47.831981722943759</v>
      </c>
      <c r="AT19" s="529"/>
      <c r="AU19" s="380">
        <f t="shared" si="1"/>
        <v>0</v>
      </c>
      <c r="AV19">
        <v>0</v>
      </c>
    </row>
    <row r="20" spans="1:49">
      <c r="A20" s="39"/>
      <c r="B20" s="35"/>
      <c r="C20" s="35"/>
      <c r="D20" s="35"/>
      <c r="E20" s="35"/>
      <c r="F20" s="35"/>
      <c r="G20" s="40"/>
      <c r="H20" s="39" t="s">
        <v>495</v>
      </c>
      <c r="I20" s="691" t="s">
        <v>1016</v>
      </c>
      <c r="J20" s="372">
        <f>(J10*'LC factor'!H20+J11*'LC factor'!L20)/1000</f>
        <v>1.3830000876391497E-4</v>
      </c>
      <c r="K20" s="373">
        <f>(K10*'LC factor'!H20+K11*'LC factor'!L20)/1000</f>
        <v>1.8826877950371856E-5</v>
      </c>
      <c r="L20">
        <v>0</v>
      </c>
      <c r="M20" s="366">
        <f>(J20+K20+L20)/1000</f>
        <v>1.5712688671428683E-7</v>
      </c>
      <c r="N20" s="39" t="s">
        <v>495</v>
      </c>
      <c r="O20" s="691" t="s">
        <v>1016</v>
      </c>
      <c r="P20" s="529">
        <f>(P10*'LC factor'!H20+P11*'LC factor'!L20)/1000</f>
        <v>1.3843844721112607E-4</v>
      </c>
      <c r="Q20" s="529">
        <f>(Q10*'LC factor'!H20+Q11*'LC factor'!L20)/1000</f>
        <v>3.7691447348091811E-6</v>
      </c>
      <c r="R20" s="529">
        <f>(R10*'LC factor'!H20+R11*'LC factor'!L20)/1000</f>
        <v>1.0164451098454216E-4</v>
      </c>
      <c r="S20" s="371">
        <f>(S10*'LC factor'!H20+S11*'LC factor'!L20)/1000</f>
        <v>0</v>
      </c>
      <c r="T20">
        <v>0</v>
      </c>
      <c r="W20" s="39" t="s">
        <v>495</v>
      </c>
      <c r="X20" s="691" t="s">
        <v>1016</v>
      </c>
      <c r="Y20" s="529">
        <f>(Y10*'LC factor'!H20+Y11*'LC factor'!L20)/1000</f>
        <v>1.3830000876391497E-4</v>
      </c>
      <c r="Z20" s="529">
        <f>(Z10*'LC factor'!H20+Z11*'LC factor'!L20)/1000</f>
        <v>1.42637580009343E-4</v>
      </c>
      <c r="AA20" s="529"/>
      <c r="AB20" s="529">
        <f>(AB10*'LC factor'!N20+'LC factor'!N20*AB11)/1000</f>
        <v>0</v>
      </c>
      <c r="AC20" s="371">
        <f>(AC10*'LC factor'!N20+'LC factor'!N20*AC11)/1000</f>
        <v>0</v>
      </c>
      <c r="AD20">
        <v>0</v>
      </c>
      <c r="AF20" s="39" t="s">
        <v>495</v>
      </c>
      <c r="AG20" s="691" t="s">
        <v>1016</v>
      </c>
      <c r="AH20" s="380">
        <f>Y20</f>
        <v>1.3830000876391497E-4</v>
      </c>
      <c r="AI20" s="529">
        <f>(AI10*'LC factor'!H20+AI11*'LC factor'!L20)/1000</f>
        <v>1.6083351313931027E-4</v>
      </c>
      <c r="AJ20" s="529"/>
      <c r="AK20" s="380">
        <f>AC20</f>
        <v>0</v>
      </c>
      <c r="AL20">
        <v>0</v>
      </c>
      <c r="AO20" s="39" t="s">
        <v>495</v>
      </c>
      <c r="AP20" s="691" t="s">
        <v>1016</v>
      </c>
      <c r="AQ20" s="380">
        <f>AH20</f>
        <v>1.3830000876391497E-4</v>
      </c>
      <c r="AR20" s="380">
        <f>D31/D9*K20</f>
        <v>9.4134389751859279E-6</v>
      </c>
      <c r="AS20" s="529">
        <f>(AS10*'LC factor'!H20+AS11*'LC factor'!L20)/1000</f>
        <v>1.6069582178167304E-4</v>
      </c>
      <c r="AT20" s="529"/>
      <c r="AU20" s="380">
        <f t="shared" si="1"/>
        <v>0</v>
      </c>
      <c r="AV20">
        <v>0</v>
      </c>
    </row>
    <row r="21" spans="1:49" ht="14.25" thickBot="1">
      <c r="A21" s="468" t="s">
        <v>602</v>
      </c>
      <c r="B21" s="108" t="s">
        <v>659</v>
      </c>
      <c r="C21" s="108"/>
      <c r="D21" s="111">
        <f>'Key Input'!E11</f>
        <v>0.90200000000000002</v>
      </c>
      <c r="E21" s="108"/>
      <c r="F21" s="108"/>
      <c r="G21" s="469"/>
      <c r="H21" s="376" t="s">
        <v>496</v>
      </c>
      <c r="I21" s="376" t="s">
        <v>497</v>
      </c>
      <c r="J21" s="377">
        <f>(J18+J19*25+J20*0.298)/1000</f>
        <v>8.6172757468155936</v>
      </c>
      <c r="K21" s="377">
        <f>(K18+K19*25+K20*0.298)/1000</f>
        <v>1.0127108565691105</v>
      </c>
      <c r="L21" s="377">
        <f>(L18+L19*25+L20*0.298)/1000</f>
        <v>57.122999999999998</v>
      </c>
      <c r="M21" s="366">
        <f>(J21+K21+L21)</f>
        <v>66.752986603384699</v>
      </c>
      <c r="N21" s="375" t="s">
        <v>496</v>
      </c>
      <c r="O21" s="376" t="s">
        <v>497</v>
      </c>
      <c r="P21" s="377">
        <f>(P18+P19*25+P20*0.298)/1000</f>
        <v>8.624099846662256</v>
      </c>
      <c r="Q21" s="377">
        <f>(Q18+Q19*25+Q20*0.298)/1000</f>
        <v>0.2027449162300522</v>
      </c>
      <c r="R21" s="377">
        <f>(R18+R19*25+R20*0.298)/1000</f>
        <v>7.1817853904384101</v>
      </c>
      <c r="S21" s="377">
        <f>(S18+S19*25+S20*0.298)/1000</f>
        <v>0</v>
      </c>
      <c r="T21" s="377">
        <f>(T18+T19*25+T20*0.298)/1000</f>
        <v>57.122999999999998</v>
      </c>
      <c r="U21" s="464">
        <f>P21+Q21+R21+S21+T21</f>
        <v>73.131630153330718</v>
      </c>
      <c r="V21" s="366"/>
      <c r="W21" s="375" t="s">
        <v>496</v>
      </c>
      <c r="X21" s="376" t="s">
        <v>497</v>
      </c>
      <c r="Y21" s="377">
        <f>(Y18+Y19*25+Y20*0.298)/1000</f>
        <v>8.6172757468155936</v>
      </c>
      <c r="Z21" s="377">
        <f>(Z18+Z19*25+Z20*0.298)/1000</f>
        <v>7.1729530273479885</v>
      </c>
      <c r="AA21" s="377"/>
      <c r="AB21" s="377">
        <f>(AB18+AB19*25+AB20*0.298)/1000</f>
        <v>0.96305003179275672</v>
      </c>
      <c r="AC21" s="377">
        <f>(AC18+AC19*25+AC20*0.298)/1000</f>
        <v>0.24082008388281975</v>
      </c>
      <c r="AD21" s="377">
        <f>(AD18+AD19*25+AD20*0.298)/1000</f>
        <v>57.122999999999998</v>
      </c>
      <c r="AE21" s="464">
        <f>Y21+Z21+AB21+AC21+AD21</f>
        <v>74.117098889839156</v>
      </c>
      <c r="AF21" s="375" t="s">
        <v>496</v>
      </c>
      <c r="AG21" s="376" t="s">
        <v>497</v>
      </c>
      <c r="AH21" s="377">
        <f>(AH18+AH19*25+AH20*0.298)/1000</f>
        <v>8.6172757468155936</v>
      </c>
      <c r="AI21" s="377">
        <f>(AI18+AI19*25+AI20*0.298)/1000</f>
        <v>11.412462692643675</v>
      </c>
      <c r="AJ21" s="377"/>
      <c r="AK21" s="377">
        <f>(AK18+AK19*25+AK20*0.298)/1000</f>
        <v>0.24082008388281975</v>
      </c>
      <c r="AL21" s="377">
        <f>(AL18+AL19*25+AL20*0.298)/1000</f>
        <v>57.122999999999998</v>
      </c>
      <c r="AM21" s="464">
        <f>AH21+AI21+AK21+AL21</f>
        <v>77.39355852334208</v>
      </c>
      <c r="AN21" s="366"/>
      <c r="AO21" s="375" t="s">
        <v>496</v>
      </c>
      <c r="AP21" s="376" t="s">
        <v>497</v>
      </c>
      <c r="AQ21" s="380">
        <f>AH21</f>
        <v>8.6172757468155936</v>
      </c>
      <c r="AR21" s="377">
        <f>(AR18+AR19*25+AR20*0.298)/1000</f>
        <v>0.50635542828455526</v>
      </c>
      <c r="AS21" s="377">
        <f>(AS18+AS19*25+AS20*0.298)/1000</f>
        <v>11.402692356527393</v>
      </c>
      <c r="AT21" s="377"/>
      <c r="AU21" s="380">
        <f t="shared" si="1"/>
        <v>0.24082008388281975</v>
      </c>
      <c r="AV21" s="377">
        <f>(AV18+AV19*25+AV20*0.298)/1000</f>
        <v>57.122999999999998</v>
      </c>
      <c r="AW21" s="464">
        <f>AQ21+AR21+AS21+AU21+AV21</f>
        <v>77.890143615510354</v>
      </c>
    </row>
    <row r="22" spans="1:49">
      <c r="A22" s="93"/>
      <c r="B22" s="35" t="s">
        <v>438</v>
      </c>
      <c r="C22" s="35"/>
      <c r="D22" s="389" t="s">
        <v>434</v>
      </c>
      <c r="E22" s="457">
        <v>0.98</v>
      </c>
      <c r="F22" s="35"/>
      <c r="G22" s="84"/>
      <c r="J22" s="465">
        <f>J21/M21</f>
        <v>0.12909198801868524</v>
      </c>
      <c r="K22" s="465">
        <f>K21/M21</f>
        <v>1.517101942698338E-2</v>
      </c>
      <c r="L22" s="465">
        <f>L21/M21</f>
        <v>0.85573699255433144</v>
      </c>
      <c r="P22" s="465">
        <f>P21/U21</f>
        <v>0.11792571598063138</v>
      </c>
      <c r="Q22" s="465">
        <f>Q21/U21</f>
        <v>2.7723286873951674E-3</v>
      </c>
      <c r="R22" s="465">
        <f>R21/U21</f>
        <v>9.820354578970536E-2</v>
      </c>
      <c r="S22" s="465">
        <f>S21/U21</f>
        <v>0</v>
      </c>
      <c r="T22" s="465">
        <f>T21/U21</f>
        <v>0.78109840954226806</v>
      </c>
      <c r="Y22" s="465">
        <f>Y21/AE21</f>
        <v>0.11626569139765602</v>
      </c>
      <c r="Z22" s="465">
        <f>Z21/AE21</f>
        <v>9.6778653438786194E-2</v>
      </c>
      <c r="AA22" s="465"/>
      <c r="AB22" s="465">
        <f>AB21/AE21</f>
        <v>1.2993628274956441E-2</v>
      </c>
      <c r="AC22" s="465">
        <f>AC21/AE21</f>
        <v>3.2491838926500967E-3</v>
      </c>
      <c r="AD22" s="465">
        <f>AD21/AE21</f>
        <v>0.77071284299595122</v>
      </c>
      <c r="AG22" s="465"/>
      <c r="AH22" s="465">
        <f>AH21/AM21</f>
        <v>0.11134357834465776</v>
      </c>
      <c r="AI22" s="465">
        <f>AI21/AM21</f>
        <v>0.14746011051038116</v>
      </c>
      <c r="AJ22" s="465"/>
      <c r="AK22" s="465">
        <f>AK21/AM21</f>
        <v>3.1116295526091857E-3</v>
      </c>
      <c r="AL22" s="465">
        <f>AL21/AM21</f>
        <v>0.73808468159235197</v>
      </c>
      <c r="AQ22" s="465">
        <f>AQ21/AW21</f>
        <v>0.11063371239053185</v>
      </c>
      <c r="AR22" s="465">
        <f>AR21/AW21</f>
        <v>6.5008922153755554E-3</v>
      </c>
      <c r="AS22" s="465">
        <f>AS21/AW21</f>
        <v>0.14639454784952741</v>
      </c>
      <c r="AT22" s="465"/>
      <c r="AU22" s="465">
        <f>AU21/AW21</f>
        <v>3.0917914989550101E-3</v>
      </c>
      <c r="AV22" s="465">
        <f>AV21/AW21</f>
        <v>0.73337905604561027</v>
      </c>
    </row>
    <row r="23" spans="1:49">
      <c r="A23" s="93"/>
      <c r="B23" s="35"/>
      <c r="C23" s="35"/>
      <c r="D23" s="389" t="s">
        <v>447</v>
      </c>
      <c r="E23" s="457">
        <f>1-E22</f>
        <v>2.0000000000000018E-2</v>
      </c>
      <c r="F23" s="35"/>
      <c r="G23" s="84"/>
      <c r="AE23">
        <f>AE21/'NG-based'!AE21</f>
        <v>0.98401679994866442</v>
      </c>
      <c r="AM23">
        <f>AM21/'NG-based'!AM21</f>
        <v>0.99689802265177896</v>
      </c>
      <c r="AW23">
        <f>AW21/'NG-based'!AW21</f>
        <v>0.99049846153892607</v>
      </c>
    </row>
    <row r="24" spans="1:49">
      <c r="A24" s="93"/>
      <c r="B24" s="478" t="s">
        <v>603</v>
      </c>
      <c r="C24" s="35"/>
      <c r="D24" s="452">
        <f>'Key Input'!E12/2</f>
        <v>3350</v>
      </c>
      <c r="E24" s="361" t="s">
        <v>449</v>
      </c>
      <c r="F24" s="35" t="s">
        <v>450</v>
      </c>
      <c r="G24" s="84"/>
      <c r="AE24">
        <f>90.4/AE21</f>
        <v>1.2196915604368468</v>
      </c>
      <c r="AM24">
        <f>88.4/AM21</f>
        <v>1.1422139217611806</v>
      </c>
      <c r="AW24">
        <f>89.4/AW21</f>
        <v>1.147770383391586</v>
      </c>
    </row>
    <row r="25" spans="1:49">
      <c r="A25" s="93"/>
      <c r="B25" s="35"/>
      <c r="C25" s="35"/>
      <c r="D25" s="35"/>
      <c r="E25" s="35"/>
      <c r="F25" s="35"/>
      <c r="G25" s="84"/>
      <c r="AE25">
        <f>74.7/AE21</f>
        <v>1.0078645969538989</v>
      </c>
      <c r="AM25">
        <f>73.5/AM21</f>
        <v>0.94969143947337975</v>
      </c>
      <c r="AW25">
        <f>74.3/AW21</f>
        <v>0.95390760051448353</v>
      </c>
    </row>
    <row r="26" spans="1:49">
      <c r="A26" s="470" t="s">
        <v>604</v>
      </c>
      <c r="B26" s="456" t="s">
        <v>613</v>
      </c>
      <c r="C26" s="35"/>
      <c r="D26" s="35"/>
      <c r="E26" s="35"/>
      <c r="F26" s="35"/>
      <c r="G26" s="84"/>
    </row>
    <row r="27" spans="1:49">
      <c r="A27" s="93"/>
      <c r="B27" s="456" t="s">
        <v>660</v>
      </c>
      <c r="C27" s="35"/>
      <c r="D27" s="64">
        <f>'Key Input'!E13</f>
        <v>0.95185878577159677</v>
      </c>
      <c r="E27" s="35"/>
      <c r="F27" s="35"/>
      <c r="G27" s="84"/>
    </row>
    <row r="28" spans="1:49">
      <c r="A28" s="93"/>
      <c r="B28" s="35" t="s">
        <v>438</v>
      </c>
      <c r="C28" s="35"/>
      <c r="D28" s="389" t="s">
        <v>434</v>
      </c>
      <c r="E28" s="457">
        <v>0</v>
      </c>
      <c r="F28" s="35"/>
      <c r="G28" s="84"/>
    </row>
    <row r="29" spans="1:49">
      <c r="A29" s="93"/>
      <c r="B29" s="35"/>
      <c r="C29" s="35"/>
      <c r="D29" s="389" t="s">
        <v>447</v>
      </c>
      <c r="E29" s="457">
        <f>1-E28</f>
        <v>1</v>
      </c>
      <c r="F29" s="35"/>
      <c r="G29" s="84"/>
    </row>
    <row r="30" spans="1:49">
      <c r="A30" s="93"/>
      <c r="B30" s="35"/>
      <c r="C30" s="35"/>
      <c r="D30" s="35"/>
      <c r="E30" s="35"/>
      <c r="F30" s="35"/>
      <c r="G30" s="84"/>
    </row>
    <row r="31" spans="1:49">
      <c r="A31" s="470" t="s">
        <v>605</v>
      </c>
      <c r="B31" s="456" t="s">
        <v>606</v>
      </c>
      <c r="C31" s="35"/>
      <c r="D31" s="452">
        <f>'Key Input'!E15/2</f>
        <v>750</v>
      </c>
      <c r="E31" s="478" t="s">
        <v>607</v>
      </c>
      <c r="F31" s="456" t="s">
        <v>455</v>
      </c>
      <c r="G31" s="84"/>
    </row>
    <row r="32" spans="1:49">
      <c r="A32" s="93"/>
      <c r="B32" s="456" t="s">
        <v>660</v>
      </c>
      <c r="C32" s="35"/>
      <c r="D32" s="64">
        <f>'Key Input'!E14</f>
        <v>0.95189999999999997</v>
      </c>
      <c r="E32" s="35"/>
      <c r="F32" s="35"/>
      <c r="G32" s="84"/>
    </row>
    <row r="33" spans="1:7">
      <c r="A33" s="93"/>
      <c r="B33" s="35" t="s">
        <v>438</v>
      </c>
      <c r="C33" s="35"/>
      <c r="D33" s="389" t="s">
        <v>434</v>
      </c>
      <c r="E33" s="457">
        <v>0</v>
      </c>
      <c r="F33" s="35"/>
      <c r="G33" s="84"/>
    </row>
    <row r="34" spans="1:7">
      <c r="A34" s="470"/>
      <c r="B34" s="35"/>
      <c r="C34" s="35"/>
      <c r="D34" s="389" t="s">
        <v>447</v>
      </c>
      <c r="E34" s="457">
        <f>1-E33</f>
        <v>1</v>
      </c>
      <c r="F34" s="35"/>
      <c r="G34" s="84"/>
    </row>
    <row r="35" spans="1:7">
      <c r="A35" s="93"/>
      <c r="B35" s="35"/>
      <c r="C35" s="35"/>
      <c r="D35" s="35"/>
      <c r="E35" s="35"/>
      <c r="F35" s="35"/>
      <c r="G35" s="84"/>
    </row>
    <row r="36" spans="1:7">
      <c r="A36" s="93" t="s">
        <v>661</v>
      </c>
      <c r="B36" s="478" t="s">
        <v>601</v>
      </c>
      <c r="C36" s="35"/>
      <c r="D36" s="35"/>
      <c r="E36" s="361"/>
      <c r="F36" s="35"/>
      <c r="G36" s="84"/>
    </row>
    <row r="37" spans="1:7">
      <c r="A37" s="470"/>
      <c r="B37" s="478"/>
      <c r="C37" s="35"/>
      <c r="D37" s="452">
        <f>'Key Input'!E16/2</f>
        <v>50</v>
      </c>
      <c r="E37" s="35" t="s">
        <v>449</v>
      </c>
      <c r="F37" s="35" t="s">
        <v>451</v>
      </c>
      <c r="G37" s="84"/>
    </row>
    <row r="38" spans="1:7">
      <c r="A38" s="93"/>
      <c r="B38" s="35"/>
      <c r="C38" s="35"/>
      <c r="D38" s="35"/>
      <c r="E38" s="35"/>
      <c r="F38" s="35"/>
      <c r="G38" s="84"/>
    </row>
    <row r="39" spans="1:7">
      <c r="A39" s="93"/>
      <c r="B39" s="456" t="s">
        <v>470</v>
      </c>
      <c r="C39" s="478" t="s">
        <v>450</v>
      </c>
      <c r="D39" s="389">
        <v>150</v>
      </c>
      <c r="E39" s="456" t="s">
        <v>471</v>
      </c>
      <c r="F39" s="478" t="s">
        <v>503</v>
      </c>
      <c r="G39" s="84"/>
    </row>
    <row r="40" spans="1:7">
      <c r="A40" s="93"/>
      <c r="B40" s="35"/>
      <c r="C40" s="478" t="s">
        <v>451</v>
      </c>
      <c r="D40" s="389">
        <v>2500</v>
      </c>
      <c r="E40" s="456" t="s">
        <v>471</v>
      </c>
      <c r="F40" s="384" t="s">
        <v>504</v>
      </c>
      <c r="G40" s="84"/>
    </row>
    <row r="41" spans="1:7">
      <c r="A41" s="93"/>
      <c r="B41" s="35"/>
      <c r="C41" s="478" t="s">
        <v>455</v>
      </c>
      <c r="D41" s="389">
        <f>C12</f>
        <v>372</v>
      </c>
      <c r="E41" s="456" t="str">
        <f>D12</f>
        <v>kj/tkm</v>
      </c>
      <c r="F41" s="384"/>
      <c r="G41" s="84"/>
    </row>
    <row r="42" spans="1:7">
      <c r="A42" s="93"/>
      <c r="B42" s="35"/>
      <c r="C42" s="35"/>
      <c r="D42" s="457">
        <f>C10</f>
        <v>0.9</v>
      </c>
      <c r="E42" s="457" t="str">
        <f>D10</f>
        <v>NG</v>
      </c>
      <c r="F42" s="384"/>
      <c r="G42" s="84"/>
    </row>
    <row r="43" spans="1:7">
      <c r="A43" s="101"/>
      <c r="B43" s="102"/>
      <c r="C43" s="102"/>
      <c r="D43" s="471">
        <f>C11</f>
        <v>0.1</v>
      </c>
      <c r="E43" s="471" t="str">
        <f>D11</f>
        <v>electricity</v>
      </c>
      <c r="F43" s="472"/>
      <c r="G43" s="473"/>
    </row>
    <row r="44" spans="1:7" ht="14.25" thickBot="1">
      <c r="A44" s="39"/>
      <c r="B44" s="35"/>
      <c r="C44" s="35"/>
      <c r="D44" s="456"/>
      <c r="E44" s="384"/>
      <c r="F44" s="35"/>
      <c r="G44" s="40"/>
    </row>
    <row r="45" spans="1:7">
      <c r="A45" s="36" t="s">
        <v>448</v>
      </c>
      <c r="B45" s="37" t="s">
        <v>444</v>
      </c>
      <c r="C45" s="37"/>
      <c r="D45" s="449">
        <f>'Key Input'!E18</f>
        <v>0.54200000000000004</v>
      </c>
      <c r="E45" s="37"/>
      <c r="F45" s="37"/>
      <c r="G45" s="38"/>
    </row>
    <row r="46" spans="1:7">
      <c r="A46" s="39"/>
      <c r="B46" s="35" t="s">
        <v>438</v>
      </c>
      <c r="C46" s="35"/>
      <c r="D46" s="35" t="s">
        <v>434</v>
      </c>
      <c r="E46" s="64">
        <v>1</v>
      </c>
      <c r="F46" s="35"/>
      <c r="G46" s="40"/>
    </row>
    <row r="47" spans="1:7">
      <c r="A47" s="39"/>
      <c r="B47" s="35" t="s">
        <v>452</v>
      </c>
      <c r="C47" s="35"/>
      <c r="D47" s="35">
        <v>100</v>
      </c>
      <c r="E47" s="35" t="s">
        <v>449</v>
      </c>
      <c r="F47" s="35" t="s">
        <v>455</v>
      </c>
      <c r="G47" s="40"/>
    </row>
    <row r="48" spans="1:7" ht="14.25" thickBot="1">
      <c r="A48" s="41"/>
      <c r="B48" s="42" t="s">
        <v>453</v>
      </c>
      <c r="C48" s="42"/>
      <c r="D48" s="42" t="s">
        <v>454</v>
      </c>
      <c r="E48" s="376" t="s">
        <v>506</v>
      </c>
      <c r="F48" s="42"/>
      <c r="G48" s="43"/>
    </row>
  </sheetData>
  <phoneticPr fontId="41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selection activeCell="D25" sqref="D25"/>
    </sheetView>
  </sheetViews>
  <sheetFormatPr defaultRowHeight="13.5"/>
  <sheetData>
    <row r="1" spans="1:9" ht="14.25" thickBot="1">
      <c r="A1" s="405" t="s">
        <v>515</v>
      </c>
      <c r="E1" s="36"/>
      <c r="F1" s="418" t="s">
        <v>584</v>
      </c>
      <c r="G1" s="37"/>
      <c r="H1" s="38"/>
    </row>
    <row r="2" spans="1:9">
      <c r="B2" s="405" t="s">
        <v>561</v>
      </c>
      <c r="C2">
        <v>20.908000000000001</v>
      </c>
      <c r="D2" s="405" t="s">
        <v>520</v>
      </c>
      <c r="E2" s="36"/>
      <c r="F2" s="413" t="s">
        <v>565</v>
      </c>
      <c r="G2" s="413" t="s">
        <v>564</v>
      </c>
      <c r="H2" s="416" t="s">
        <v>566</v>
      </c>
      <c r="I2" s="419" t="s">
        <v>542</v>
      </c>
    </row>
    <row r="3" spans="1:9">
      <c r="B3" s="405" t="s">
        <v>562</v>
      </c>
      <c r="C3">
        <v>26.344000000000001</v>
      </c>
      <c r="D3" s="405" t="s">
        <v>520</v>
      </c>
      <c r="E3" s="412" t="s">
        <v>539</v>
      </c>
      <c r="F3" s="35">
        <v>1</v>
      </c>
      <c r="G3" s="35">
        <v>1</v>
      </c>
      <c r="H3" s="40"/>
    </row>
    <row r="4" spans="1:9" ht="14.25" thickBot="1">
      <c r="E4" s="412" t="s">
        <v>540</v>
      </c>
      <c r="F4" s="35"/>
      <c r="G4" s="35"/>
      <c r="H4" s="40"/>
    </row>
    <row r="5" spans="1:9">
      <c r="A5" s="408" t="s">
        <v>563</v>
      </c>
      <c r="B5" s="37"/>
      <c r="C5" s="502">
        <f>'LC for SE'!O3/100</f>
        <v>0.94599999999999995</v>
      </c>
      <c r="D5" s="37"/>
      <c r="E5" s="39" t="str">
        <f t="shared" ref="E5:F7" si="0">C15</f>
        <v>LCA-Coal</v>
      </c>
      <c r="F5" s="35">
        <f t="shared" si="0"/>
        <v>6.6451344719938341E-2</v>
      </c>
      <c r="G5" s="35">
        <f>D34</f>
        <v>2.324796633240654E-3</v>
      </c>
      <c r="H5" s="40">
        <v>1</v>
      </c>
      <c r="I5">
        <f>SUM(F5:H5)</f>
        <v>1.0687761413531791</v>
      </c>
    </row>
    <row r="6" spans="1:9">
      <c r="A6" s="39"/>
      <c r="B6" s="409" t="s">
        <v>522</v>
      </c>
      <c r="C6" s="35" t="str">
        <f>'LC for SE'!A4</f>
        <v>原煤</v>
      </c>
      <c r="D6" s="417">
        <f>'LC for SE'!B4</f>
        <v>0.73</v>
      </c>
      <c r="E6" s="39" t="str">
        <f t="shared" si="0"/>
        <v>LCA-NG</v>
      </c>
      <c r="F6" s="35">
        <f t="shared" si="0"/>
        <v>1.9762680613671984E-3</v>
      </c>
      <c r="G6" s="35">
        <f>D35</f>
        <v>6.3236961675584131E-4</v>
      </c>
      <c r="H6" s="40">
        <v>0</v>
      </c>
      <c r="I6">
        <f>SUM(F6:H6)</f>
        <v>2.6086376781230399E-3</v>
      </c>
    </row>
    <row r="7" spans="1:9">
      <c r="A7" s="39"/>
      <c r="B7" s="35"/>
      <c r="C7" s="35" t="str">
        <f>'LC for SE'!A5</f>
        <v>原始天然气</v>
      </c>
      <c r="D7" s="417">
        <f>'LC for SE'!B5</f>
        <v>0</v>
      </c>
      <c r="E7" s="39" t="str">
        <f t="shared" si="0"/>
        <v>LCA-Oil</v>
      </c>
      <c r="F7" s="35">
        <f t="shared" si="0"/>
        <v>2.5947147438770504E-3</v>
      </c>
      <c r="G7" s="35">
        <f>D36</f>
        <v>1.1874008294615747E-2</v>
      </c>
      <c r="H7" s="40">
        <v>0</v>
      </c>
      <c r="I7">
        <f>SUM(F7:H7)</f>
        <v>1.4468723038492797E-2</v>
      </c>
    </row>
    <row r="8" spans="1:9">
      <c r="A8" s="39"/>
      <c r="B8" s="35"/>
      <c r="C8" s="35" t="str">
        <f>'LC for SE'!A6</f>
        <v>原油</v>
      </c>
      <c r="D8" s="417">
        <f>'LC for SE'!B6</f>
        <v>0</v>
      </c>
      <c r="E8" s="39" t="str">
        <f>C18</f>
        <v>LCA-PE</v>
      </c>
      <c r="F8" s="406">
        <f>F5+F6+F7</f>
        <v>7.1022327525182588E-2</v>
      </c>
      <c r="G8" s="406">
        <f>G5+G6+G7</f>
        <v>1.4831174544612243E-2</v>
      </c>
      <c r="H8" s="411">
        <f>H5+H6+H7</f>
        <v>1</v>
      </c>
      <c r="I8">
        <f>SUM(F8:H8)</f>
        <v>1.0858535020697948</v>
      </c>
    </row>
    <row r="9" spans="1:9">
      <c r="A9" s="39"/>
      <c r="B9" s="35"/>
      <c r="C9" s="35" t="str">
        <f>'LC for SE'!A7</f>
        <v>精煤</v>
      </c>
      <c r="D9" s="417">
        <f>'LC for SE'!B7</f>
        <v>0.08</v>
      </c>
      <c r="E9" s="39"/>
      <c r="F9" s="35"/>
      <c r="G9" s="35"/>
      <c r="H9" s="40"/>
    </row>
    <row r="10" spans="1:9">
      <c r="A10" s="39"/>
      <c r="B10" s="35"/>
      <c r="C10" s="35" t="str">
        <f>'LC for SE'!A8</f>
        <v>精制天然气</v>
      </c>
      <c r="D10" s="417">
        <f>'LC for SE'!B8</f>
        <v>5.0000000000000001E-3</v>
      </c>
      <c r="E10" s="39" t="str">
        <f>C20</f>
        <v>LCA-CO2</v>
      </c>
      <c r="F10" s="35">
        <f>D20</f>
        <v>5.7264489527531293</v>
      </c>
      <c r="G10" s="35">
        <f>D39</f>
        <v>1.0854592421650162</v>
      </c>
      <c r="H10" s="40">
        <f>'LC factor'!H7</f>
        <v>81.641999999999996</v>
      </c>
      <c r="I10">
        <f>SUM(F10:H10)</f>
        <v>88.453908194918142</v>
      </c>
    </row>
    <row r="11" spans="1:9">
      <c r="A11" s="39"/>
      <c r="B11" s="35"/>
      <c r="C11" s="35" t="str">
        <f>'LC for SE'!A9</f>
        <v>柴油</v>
      </c>
      <c r="D11" s="417">
        <f>'LC for SE'!B9</f>
        <v>0.03</v>
      </c>
      <c r="E11" s="39" t="str">
        <f t="shared" ref="E11:F13" si="1">C21</f>
        <v>LCA-CH4</v>
      </c>
      <c r="F11" s="35">
        <f t="shared" si="1"/>
        <v>0.43322457209739174</v>
      </c>
      <c r="G11" s="35">
        <f>D40</f>
        <v>1.2103680781498586E-3</v>
      </c>
      <c r="H11" s="40">
        <f>'LC factor'!I7</f>
        <v>1E-3</v>
      </c>
      <c r="I11">
        <f>SUM(F11:H11)</f>
        <v>0.43543494017554157</v>
      </c>
    </row>
    <row r="12" spans="1:9">
      <c r="A12" s="39"/>
      <c r="B12" s="35"/>
      <c r="C12" s="35" t="str">
        <f>'LC for SE'!A10</f>
        <v>汽油</v>
      </c>
      <c r="D12" s="417">
        <f>'LC for SE'!B10</f>
        <v>0</v>
      </c>
      <c r="E12" s="39" t="str">
        <f t="shared" si="1"/>
        <v>LCA-N2O</v>
      </c>
      <c r="F12" s="35">
        <f t="shared" si="1"/>
        <v>1.240409454488117E-4</v>
      </c>
      <c r="G12" s="35">
        <f>D41</f>
        <v>2.4848614219686406E-4</v>
      </c>
      <c r="H12" s="40">
        <f>'LC factor'!J7</f>
        <v>1E-3</v>
      </c>
      <c r="I12">
        <f>SUM(F12:H12)</f>
        <v>1.3725270876456758E-3</v>
      </c>
    </row>
    <row r="13" spans="1:9" ht="14.25" thickBot="1">
      <c r="A13" s="39"/>
      <c r="B13" s="35"/>
      <c r="C13" s="35" t="str">
        <f>'LC for SE'!A11</f>
        <v>燃料油</v>
      </c>
      <c r="D13" s="417">
        <f>'LC for SE'!B11</f>
        <v>0</v>
      </c>
      <c r="E13" s="39" t="str">
        <f t="shared" si="1"/>
        <v>LCA-GHG</v>
      </c>
      <c r="F13" s="407">
        <f>(F10+F11*25+F12*0.298)</f>
        <v>16.557100219389664</v>
      </c>
      <c r="G13" s="407">
        <f t="shared" ref="G13:H13" si="2">(G10+G11*25+G12*0.298)</f>
        <v>1.1157924929891374</v>
      </c>
      <c r="H13" s="407">
        <f t="shared" si="2"/>
        <v>81.667298000000002</v>
      </c>
      <c r="I13" s="420">
        <f>SUM(F13:H13)</f>
        <v>99.340190712378799</v>
      </c>
    </row>
    <row r="14" spans="1:9">
      <c r="A14" s="39"/>
      <c r="B14" s="35"/>
      <c r="C14" s="35" t="str">
        <f>'LC for SE'!A12</f>
        <v>电力</v>
      </c>
      <c r="D14" s="417">
        <f>'LC for SE'!B12</f>
        <v>0.15</v>
      </c>
      <c r="F14" s="429">
        <f>F13/I13</f>
        <v>0.16667071102498376</v>
      </c>
      <c r="G14" s="429">
        <f>G13/I13</f>
        <v>1.1232034939611791E-2</v>
      </c>
      <c r="H14" s="429">
        <f>H13/I13</f>
        <v>0.82209725403540446</v>
      </c>
    </row>
    <row r="15" spans="1:9">
      <c r="A15" s="39"/>
      <c r="B15" s="409" t="s">
        <v>523</v>
      </c>
      <c r="C15" s="35" t="str">
        <f>'NG-based'!H13</f>
        <v>LCA-Coal</v>
      </c>
      <c r="D15" s="40">
        <f>SUMPRODUCT(D6:D14,'LC factor'!B4:B12)*(1-C5)</f>
        <v>6.6451344719938341E-2</v>
      </c>
    </row>
    <row r="16" spans="1:9">
      <c r="A16" s="39"/>
      <c r="B16" s="35"/>
      <c r="C16" s="35" t="str">
        <f>'NG-based'!H14</f>
        <v>LCA-NG</v>
      </c>
      <c r="D16" s="40">
        <f>SUMPRODUCT(D6:D14,'LC factor'!C4:C12)*(1-C5)</f>
        <v>1.9762680613671984E-3</v>
      </c>
    </row>
    <row r="17" spans="1:6">
      <c r="A17" s="39"/>
      <c r="B17" s="35"/>
      <c r="C17" s="35" t="str">
        <f>'NG-based'!H15</f>
        <v>LCA-Oil</v>
      </c>
      <c r="D17" s="40">
        <f>SUMPRODUCT(D6:D14,'LC factor'!D4:D12)*(1-C5)</f>
        <v>2.5947147438770504E-3</v>
      </c>
    </row>
    <row r="18" spans="1:6">
      <c r="A18" s="39"/>
      <c r="B18" s="35"/>
      <c r="C18" s="35" t="str">
        <f>'NG-based'!H16</f>
        <v>LCA-PE</v>
      </c>
      <c r="D18" s="411">
        <f>D15+D16+D17</f>
        <v>7.1022327525182588E-2</v>
      </c>
    </row>
    <row r="19" spans="1:6" ht="31.5">
      <c r="A19" s="39"/>
      <c r="B19" s="35"/>
      <c r="C19" s="35"/>
      <c r="D19" s="40"/>
      <c r="F19" s="540"/>
    </row>
    <row r="20" spans="1:6">
      <c r="A20" s="39"/>
      <c r="B20" s="35"/>
      <c r="C20" s="35" t="str">
        <f>'NG-based'!H18</f>
        <v>LCA-CO2</v>
      </c>
      <c r="D20" s="40">
        <f>SUMPRODUCT(D6:D14,'LC factor'!L4:L12)*(1-C5)</f>
        <v>5.7264489527531293</v>
      </c>
    </row>
    <row r="21" spans="1:6">
      <c r="A21" s="39"/>
      <c r="B21" s="35"/>
      <c r="C21" s="35" t="str">
        <f>'NG-based'!H19</f>
        <v>LCA-CH4</v>
      </c>
      <c r="D21" s="40">
        <f>SUMPRODUCT(D6:D14,'LC factor'!M4:M12)*(1-C5)+0.406</f>
        <v>0.43322457209739174</v>
      </c>
    </row>
    <row r="22" spans="1:6">
      <c r="A22" s="39"/>
      <c r="B22" s="35"/>
      <c r="C22" s="35" t="str">
        <f>'NG-based'!H20</f>
        <v>LCA-N2O</v>
      </c>
      <c r="D22" s="40">
        <f>SUMPRODUCT(D6:D14,'LC factor'!N4:N12)*(1-C5)</f>
        <v>1.240409454488117E-4</v>
      </c>
    </row>
    <row r="23" spans="1:6" ht="14.25" thickBot="1">
      <c r="A23" s="39"/>
      <c r="B23" s="35"/>
      <c r="C23" s="35" t="str">
        <f>'NG-based'!H21</f>
        <v>LCA-GHG</v>
      </c>
      <c r="D23" s="407">
        <f>(D20+D21*25+D22*0.31)</f>
        <v>16.55710170788101</v>
      </c>
    </row>
    <row r="24" spans="1:6">
      <c r="A24" s="408" t="s">
        <v>564</v>
      </c>
      <c r="B24" s="413" t="s">
        <v>525</v>
      </c>
      <c r="C24" s="414">
        <f>'LC for SE'!P6/100</f>
        <v>0.9890000000000001</v>
      </c>
      <c r="D24" s="38"/>
    </row>
    <row r="25" spans="1:6">
      <c r="A25" s="39"/>
      <c r="B25" s="409" t="s">
        <v>522</v>
      </c>
      <c r="C25" s="35" t="str">
        <f>C6</f>
        <v>原煤</v>
      </c>
      <c r="D25" s="410">
        <f>'LC for SE'!C15</f>
        <v>0</v>
      </c>
    </row>
    <row r="26" spans="1:6">
      <c r="A26" s="39"/>
      <c r="B26" s="35"/>
      <c r="C26" s="35" t="str">
        <f t="shared" ref="C26:C33" si="3">C7</f>
        <v>原始天然气</v>
      </c>
      <c r="D26" s="410">
        <f>'LC for SE'!C16</f>
        <v>0</v>
      </c>
    </row>
    <row r="27" spans="1:6">
      <c r="A27" s="39"/>
      <c r="B27" s="35"/>
      <c r="C27" s="35" t="str">
        <f t="shared" si="3"/>
        <v>原油</v>
      </c>
      <c r="D27" s="410">
        <f>'LC for SE'!C17</f>
        <v>0</v>
      </c>
    </row>
    <row r="28" spans="1:6">
      <c r="A28" s="39"/>
      <c r="B28" s="35"/>
      <c r="C28" s="35" t="str">
        <f t="shared" si="3"/>
        <v>精煤</v>
      </c>
      <c r="D28" s="410">
        <f>'LC for SE'!C18</f>
        <v>0</v>
      </c>
    </row>
    <row r="29" spans="1:6">
      <c r="A29" s="39"/>
      <c r="B29" s="35"/>
      <c r="C29" s="35" t="str">
        <f t="shared" si="3"/>
        <v>精制天然气</v>
      </c>
      <c r="D29" s="410">
        <f>'LC for SE'!C19</f>
        <v>0</v>
      </c>
    </row>
    <row r="30" spans="1:6">
      <c r="A30" s="39"/>
      <c r="B30" s="35"/>
      <c r="C30" s="35" t="str">
        <f t="shared" si="3"/>
        <v>柴油</v>
      </c>
      <c r="D30" s="410">
        <f>'LC for SE'!C20</f>
        <v>0.78</v>
      </c>
    </row>
    <row r="31" spans="1:6">
      <c r="A31" s="39"/>
      <c r="B31" s="35"/>
      <c r="C31" s="35" t="str">
        <f t="shared" si="3"/>
        <v>汽油</v>
      </c>
      <c r="D31" s="410">
        <f>'LC for SE'!C21</f>
        <v>0.08</v>
      </c>
    </row>
    <row r="32" spans="1:6">
      <c r="A32" s="39"/>
      <c r="B32" s="35"/>
      <c r="C32" s="35" t="str">
        <f t="shared" si="3"/>
        <v>燃料油</v>
      </c>
      <c r="D32" s="410">
        <f>'LC for SE'!C22</f>
        <v>0.08</v>
      </c>
    </row>
    <row r="33" spans="1:4">
      <c r="A33" s="39"/>
      <c r="B33" s="35"/>
      <c r="C33" s="35" t="str">
        <f t="shared" si="3"/>
        <v>电力</v>
      </c>
      <c r="D33" s="410">
        <f>'LC for SE'!C23</f>
        <v>0.06</v>
      </c>
    </row>
    <row r="34" spans="1:4">
      <c r="A34" s="39"/>
      <c r="B34" s="409" t="s">
        <v>523</v>
      </c>
      <c r="C34" s="35" t="str">
        <f>C15</f>
        <v>LCA-Coal</v>
      </c>
      <c r="D34" s="40">
        <f>SUMPRODUCT(D25:D33,'LC factor'!B4:B12)*(1-C24)</f>
        <v>2.324796633240654E-3</v>
      </c>
    </row>
    <row r="35" spans="1:4">
      <c r="A35" s="39"/>
      <c r="B35" s="35"/>
      <c r="C35" s="35" t="str">
        <f>C16</f>
        <v>LCA-NG</v>
      </c>
      <c r="D35" s="40">
        <f>SUMPRODUCT(D25:D33,'LC factor'!C4:C12)*(1-C24)</f>
        <v>6.3236961675584131E-4</v>
      </c>
    </row>
    <row r="36" spans="1:4">
      <c r="A36" s="39"/>
      <c r="B36" s="35"/>
      <c r="C36" s="35" t="str">
        <f>C17</f>
        <v>LCA-Oil</v>
      </c>
      <c r="D36" s="40">
        <f>SUMPRODUCT(D25:D33,'LC factor'!D4:D12)*(1-C24)</f>
        <v>1.1874008294615747E-2</v>
      </c>
    </row>
    <row r="37" spans="1:4">
      <c r="A37" s="39"/>
      <c r="B37" s="35"/>
      <c r="C37" s="35" t="str">
        <f>C18</f>
        <v>LCA-PE</v>
      </c>
      <c r="D37" s="411">
        <f>D34+D35+D36</f>
        <v>1.4831174544612243E-2</v>
      </c>
    </row>
    <row r="38" spans="1:4">
      <c r="A38" s="39"/>
      <c r="B38" s="35"/>
      <c r="C38" s="35"/>
      <c r="D38" s="40"/>
    </row>
    <row r="39" spans="1:4">
      <c r="A39" s="39"/>
      <c r="B39" s="35"/>
      <c r="C39" s="35" t="str">
        <f>C20</f>
        <v>LCA-CO2</v>
      </c>
      <c r="D39" s="40">
        <f>SUMPRODUCT(D25:D33,'LC factor'!L4:L12)*(1-C24)</f>
        <v>1.0854592421650162</v>
      </c>
    </row>
    <row r="40" spans="1:4">
      <c r="A40" s="39"/>
      <c r="B40" s="35"/>
      <c r="C40" s="35" t="str">
        <f>C21</f>
        <v>LCA-CH4</v>
      </c>
      <c r="D40" s="40">
        <f>SUMPRODUCT(D25:D33,'LC factor'!M4:M12)*(1-C24)</f>
        <v>1.2103680781498586E-3</v>
      </c>
    </row>
    <row r="41" spans="1:4">
      <c r="A41" s="39"/>
      <c r="B41" s="35"/>
      <c r="C41" s="35" t="str">
        <f>C22</f>
        <v>LCA-N2O</v>
      </c>
      <c r="D41" s="40">
        <f>SUMPRODUCT(D25:D33,'LC factor'!N4:N12)*(1-C24)</f>
        <v>2.4848614219686406E-4</v>
      </c>
    </row>
    <row r="42" spans="1:4" ht="14.25" thickBot="1">
      <c r="A42" s="41"/>
      <c r="B42" s="42"/>
      <c r="C42" s="42" t="str">
        <f>C23</f>
        <v>LCA-GHG</v>
      </c>
      <c r="D42" s="407">
        <f>(D39+D40*25+D41*0.31)</f>
        <v>1.1157954748228436</v>
      </c>
    </row>
  </sheetData>
  <phoneticPr fontId="3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S37"/>
  <sheetViews>
    <sheetView workbookViewId="0">
      <pane xSplit="1" topLeftCell="B1" activePane="topRight" state="frozen"/>
      <selection activeCell="C4" sqref="C4"/>
      <selection pane="topRight" activeCell="N35" sqref="N35"/>
    </sheetView>
  </sheetViews>
  <sheetFormatPr defaultRowHeight="13.5"/>
  <cols>
    <col min="1" max="1" width="18.5" customWidth="1"/>
    <col min="4" max="4" width="27.375" customWidth="1"/>
    <col min="5" max="5" width="12.5" bestFit="1" customWidth="1"/>
    <col min="6" max="6" width="13.875" bestFit="1" customWidth="1"/>
    <col min="7" max="7" width="12.5" bestFit="1" customWidth="1"/>
    <col min="8" max="8" width="13.875" bestFit="1" customWidth="1"/>
    <col min="11" max="11" width="10.5" bestFit="1" customWidth="1"/>
    <col min="12" max="12" width="10.75" customWidth="1"/>
  </cols>
  <sheetData>
    <row r="2" spans="1:18">
      <c r="B2" s="33"/>
      <c r="C2" s="33"/>
      <c r="D2" s="33"/>
    </row>
    <row r="3" spans="1:18">
      <c r="A3" s="724" t="s">
        <v>79</v>
      </c>
      <c r="C3" s="34"/>
      <c r="D3" s="34"/>
    </row>
    <row r="4" spans="1:18" ht="14.25" thickBot="1">
      <c r="A4" s="724"/>
      <c r="B4" s="34" t="s">
        <v>16</v>
      </c>
      <c r="C4" s="34">
        <v>40.700000000000003</v>
      </c>
      <c r="D4" s="443">
        <v>49.3</v>
      </c>
    </row>
    <row r="5" spans="1:18">
      <c r="E5" s="36" t="s">
        <v>46</v>
      </c>
      <c r="F5" s="37"/>
      <c r="G5" s="37"/>
      <c r="H5" s="37"/>
      <c r="I5" s="38"/>
      <c r="J5" s="36" t="s">
        <v>48</v>
      </c>
      <c r="K5" s="37"/>
      <c r="L5" s="38"/>
      <c r="M5" s="36" t="s">
        <v>50</v>
      </c>
      <c r="N5" s="37" t="s">
        <v>50</v>
      </c>
      <c r="O5" s="38" t="s">
        <v>52</v>
      </c>
      <c r="P5" s="36"/>
      <c r="Q5" s="38"/>
      <c r="R5" s="360" t="s">
        <v>431</v>
      </c>
    </row>
    <row r="6" spans="1:18">
      <c r="E6" s="39" t="s">
        <v>26</v>
      </c>
      <c r="F6" s="35" t="s">
        <v>30</v>
      </c>
      <c r="G6" s="35" t="s">
        <v>31</v>
      </c>
      <c r="H6" s="35" t="s">
        <v>32</v>
      </c>
      <c r="I6" s="40" t="s">
        <v>28</v>
      </c>
      <c r="J6" s="39" t="s">
        <v>61</v>
      </c>
      <c r="K6" s="509" t="s">
        <v>34</v>
      </c>
      <c r="L6" s="40" t="s">
        <v>36</v>
      </c>
      <c r="M6" s="39" t="s">
        <v>39</v>
      </c>
      <c r="N6" s="35" t="s">
        <v>43</v>
      </c>
      <c r="O6" s="40" t="s">
        <v>45</v>
      </c>
      <c r="P6" s="39" t="s">
        <v>54</v>
      </c>
      <c r="Q6" s="40" t="s">
        <v>74</v>
      </c>
    </row>
    <row r="7" spans="1:18" ht="14.25" thickBot="1">
      <c r="E7" s="41"/>
      <c r="F7" s="42"/>
      <c r="G7" s="42"/>
      <c r="H7" s="42"/>
      <c r="I7" s="43"/>
      <c r="J7" s="41"/>
      <c r="K7" s="42"/>
      <c r="L7" s="43"/>
      <c r="M7" s="41"/>
      <c r="N7" s="42"/>
      <c r="O7" s="43"/>
      <c r="P7" s="41"/>
      <c r="Q7" s="43"/>
    </row>
    <row r="8" spans="1:18">
      <c r="A8" s="32" t="s">
        <v>91</v>
      </c>
      <c r="B8" t="s">
        <v>24</v>
      </c>
      <c r="C8" t="s">
        <v>25</v>
      </c>
      <c r="D8" s="20">
        <f>1000*100/C4</f>
        <v>2457.002457002457</v>
      </c>
      <c r="E8" s="20">
        <f>D8</f>
        <v>2457.002457002457</v>
      </c>
      <c r="F8" s="20">
        <f>D14</f>
        <v>1.98</v>
      </c>
      <c r="G8" s="20">
        <f>D15</f>
        <v>0.03</v>
      </c>
      <c r="H8" s="20">
        <f>D16</f>
        <v>5.95</v>
      </c>
      <c r="I8" s="20">
        <f>D9+D17</f>
        <v>0.96</v>
      </c>
      <c r="J8">
        <f>(E8*'LC factor'!G15+CtL!F8*'LC factor'!I15+CtL!G8*'LC factor'!J15+CtL!H8*'LC factor'!K15+CtL!I8*'LC factor'!L15)/1000</f>
        <v>2.6381662095325509</v>
      </c>
      <c r="K8">
        <f>(E8*'LC factor'!G16+CtL!F8*'LC factor'!I16+CtL!G8*'LC factor'!J16+CtL!H8*'LC factor'!K16+CtL!I8*'LC factor'!L16)/1000</f>
        <v>7.2488961071699764E-3</v>
      </c>
      <c r="L8">
        <f>(E8*'LC factor'!G17+CtL!F8*'LC factor'!I17+CtL!G8*'LC factor'!J17+CtL!H8*'LC factor'!K17+CtL!I8*'LC factor'!L17)/1000</f>
        <v>4.5473769159221675E-2</v>
      </c>
      <c r="M8">
        <f>(E8*'LC factor'!G18+CtL!F7*'LC factor'!I18+CtL!G8*'LC factor'!J18+CtL!H8*'LC factor'!K18+CtL!I8*'LC factor'!L18)/1000</f>
        <v>218.90878920810991</v>
      </c>
      <c r="N8">
        <f>(E8*'LC factor'!G19+CtL!F8*'LC factor'!I19+CtL!G8*'LC factor'!J19+CtL!H8*'LC factor'!K19+CtL!I8*'LC factor'!L19)/1000</f>
        <v>1.0750000964768647</v>
      </c>
      <c r="O8">
        <f>(E8*'LC factor'!G20+CtL!F8*'LC factor'!I31+CtL!G8*'LC factor'!J20+CtL!H8*'LC factor'!K20+CtL!I8*'LC factor'!L20)/1000</f>
        <v>3.4019695391644756E-3</v>
      </c>
      <c r="P8">
        <f>M8+N8*25+O8*0.298</f>
        <v>245.78480540695421</v>
      </c>
      <c r="Q8">
        <f>J8+K8+L8</f>
        <v>2.6908888747989423</v>
      </c>
      <c r="R8">
        <f>1/Q8*100</f>
        <v>37.162441354056952</v>
      </c>
    </row>
    <row r="9" spans="1:18">
      <c r="C9" t="s">
        <v>27</v>
      </c>
      <c r="L9" t="s">
        <v>416</v>
      </c>
      <c r="M9">
        <v>-74</v>
      </c>
    </row>
    <row r="14" spans="1:18">
      <c r="B14" t="s">
        <v>29</v>
      </c>
      <c r="C14" t="s">
        <v>5</v>
      </c>
      <c r="D14">
        <f>'T&amp;D'!C5</f>
        <v>1.98</v>
      </c>
      <c r="L14" t="s">
        <v>70</v>
      </c>
      <c r="M14">
        <f>D8*('LC factor'!L7-'LC factor'!E7)/1000+M9</f>
        <v>126.59459459459458</v>
      </c>
    </row>
    <row r="15" spans="1:18">
      <c r="C15" t="s">
        <v>6</v>
      </c>
      <c r="D15">
        <f>'T&amp;D'!C6</f>
        <v>0.03</v>
      </c>
    </row>
    <row r="16" spans="1:18">
      <c r="C16" t="s">
        <v>7</v>
      </c>
      <c r="D16">
        <f>'T&amp;D'!C7</f>
        <v>5.95</v>
      </c>
    </row>
    <row r="17" spans="1:19">
      <c r="C17" t="s">
        <v>8</v>
      </c>
      <c r="D17">
        <f>'T&amp;D'!C8</f>
        <v>0.96</v>
      </c>
    </row>
    <row r="18" spans="1:19">
      <c r="A18" s="439" t="s">
        <v>92</v>
      </c>
      <c r="B18" s="440" t="s">
        <v>24</v>
      </c>
      <c r="C18" s="440" t="s">
        <v>25</v>
      </c>
      <c r="D18" s="441">
        <f>1000*100/D4</f>
        <v>2028.3975659229211</v>
      </c>
      <c r="E18" s="441">
        <f>D18</f>
        <v>2028.3975659229211</v>
      </c>
      <c r="F18" s="441">
        <f>D20</f>
        <v>1.98</v>
      </c>
      <c r="G18" s="441">
        <f>D21</f>
        <v>0.03</v>
      </c>
      <c r="H18" s="20">
        <f>D22</f>
        <v>5.95</v>
      </c>
      <c r="I18" s="20">
        <f>D19+D23</f>
        <v>0.96</v>
      </c>
      <c r="J18">
        <f>(E18*'LC factor'!G15+CtL!F18*'LC factor'!I15+CtL!G18*'LC factor'!J15+CtL!H18*'LC factor'!K15+CtL!I18*'LC factor'!L15)/1000</f>
        <v>2.1784466588343063</v>
      </c>
      <c r="K18">
        <f>(E18*'LC factor'!G16+CtL!F18*'LC factor'!I16+CtL!G18*'LC factor'!J16+CtL!H18*'LC factor'!K16+CtL!I18*'LC factor'!L16)/1000</f>
        <v>6.0794556599349601E-3</v>
      </c>
      <c r="L18">
        <f>(E18*'LC factor'!G17+CtL!F18*'LC factor'!I17+CtL!G18*'LC factor'!J17+CtL!H18*'LC factor'!K17+CtL!I18*'LC factor'!L17)/1000</f>
        <v>3.915231739005199E-2</v>
      </c>
      <c r="M18">
        <f>(E18*'LC factor'!G18+F18*'LC factor'!I18+CtL!G18*'LC factor'!J18+CtL!H18*'LC factor'!K18+CtL!I18*'LC factor'!L18)/1000</f>
        <v>181.03369072632017</v>
      </c>
      <c r="N18">
        <f>(E18*'LC factor'!G19+CtL!F18*'LC factor'!I19+CtL!G18*'LC factor'!J19+CtL!H18*'LC factor'!K19+CtL!I18*'LC factor'!L19)/1000</f>
        <v>0.88769871000053058</v>
      </c>
      <c r="O18">
        <f>(E18*'LC factor'!G20+CtL!F18*'LC factor'!I20+CtL!G18*'LC factor'!J20+CtL!H18*'LC factor'!K20+CtL!I18*'LC factor'!L20)/1000</f>
        <v>2.8657454210426155E-3</v>
      </c>
      <c r="P18">
        <f>M18+N18*25+O18*0.298</f>
        <v>203.2270124684689</v>
      </c>
      <c r="Q18">
        <f>J18+K18+L18</f>
        <v>2.2236784318842933</v>
      </c>
    </row>
    <row r="19" spans="1:19">
      <c r="A19" s="440"/>
      <c r="B19" s="440"/>
      <c r="C19" s="440" t="s">
        <v>27</v>
      </c>
      <c r="D19" s="440"/>
      <c r="E19" s="440"/>
      <c r="F19" s="440"/>
      <c r="G19" s="440"/>
      <c r="L19" t="s">
        <v>69</v>
      </c>
      <c r="M19">
        <v>-74.3</v>
      </c>
    </row>
    <row r="20" spans="1:19">
      <c r="A20" s="440"/>
      <c r="B20" s="440" t="s">
        <v>29</v>
      </c>
      <c r="C20" s="440" t="s">
        <v>5</v>
      </c>
      <c r="D20" s="441">
        <f>D14</f>
        <v>1.98</v>
      </c>
      <c r="E20" s="440"/>
      <c r="F20" s="440"/>
      <c r="G20" s="440"/>
      <c r="L20" t="s">
        <v>70</v>
      </c>
      <c r="M20">
        <f>D18*('LC factor'!L7-'LC factor'!E7)/1000+M19</f>
        <v>91.302434077079127</v>
      </c>
    </row>
    <row r="21" spans="1:19">
      <c r="A21" s="440"/>
      <c r="B21" s="440"/>
      <c r="C21" s="440" t="s">
        <v>6</v>
      </c>
      <c r="D21" s="441">
        <f>D15</f>
        <v>0.03</v>
      </c>
      <c r="E21" s="440"/>
      <c r="F21" s="440"/>
      <c r="G21" s="440"/>
      <c r="M21" s="26"/>
    </row>
    <row r="22" spans="1:19">
      <c r="A22" s="440"/>
      <c r="B22" s="440"/>
      <c r="C22" s="440" t="s">
        <v>7</v>
      </c>
      <c r="D22" s="441">
        <f>D16</f>
        <v>5.95</v>
      </c>
      <c r="E22" s="440"/>
      <c r="F22" s="440"/>
      <c r="G22" s="440"/>
      <c r="M22" s="26"/>
    </row>
    <row r="23" spans="1:19">
      <c r="A23" s="440"/>
      <c r="B23" s="440"/>
      <c r="C23" s="440" t="s">
        <v>8</v>
      </c>
      <c r="D23" s="441">
        <f>D17</f>
        <v>0.96</v>
      </c>
      <c r="E23" s="440"/>
      <c r="F23" s="440"/>
      <c r="G23" s="440"/>
    </row>
    <row r="27" spans="1:19">
      <c r="D27" s="58" t="str">
        <f>Coal!F2</f>
        <v>原煤开采处理</v>
      </c>
      <c r="E27" s="58" t="str">
        <f>Coal!G2</f>
        <v>煤炭运输</v>
      </c>
      <c r="F27" s="57" t="s">
        <v>592</v>
      </c>
      <c r="G27" s="57" t="s">
        <v>593</v>
      </c>
      <c r="H27" s="57" t="s">
        <v>594</v>
      </c>
      <c r="I27" s="57" t="s">
        <v>615</v>
      </c>
    </row>
    <row r="28" spans="1:19">
      <c r="D28" s="510">
        <f>Coal!F13*CtL!$D$18/1000</f>
        <v>33.584381783751859</v>
      </c>
      <c r="E28" s="510">
        <f>Coal!G13*CtL!$D$18/1000</f>
        <v>2.2632707768542346</v>
      </c>
      <c r="F28" s="512">
        <f>Coal!H13*CtL!$D$18/1000+M19</f>
        <v>91.35374847870186</v>
      </c>
      <c r="G28" s="510">
        <f>'Oil-based'!I13</f>
        <v>0.95858663514955988</v>
      </c>
      <c r="H28" s="512">
        <f>-M19</f>
        <v>74.3</v>
      </c>
      <c r="I28" s="510">
        <f>SUM(D28:H28)</f>
        <v>202.45998767445752</v>
      </c>
      <c r="K28" s="107"/>
      <c r="L28" s="108"/>
      <c r="M28" s="108"/>
      <c r="N28" s="108" t="s">
        <v>1040</v>
      </c>
      <c r="O28" s="108" t="s">
        <v>1041</v>
      </c>
      <c r="P28" s="108" t="s">
        <v>1042</v>
      </c>
      <c r="Q28" s="108" t="s">
        <v>1043</v>
      </c>
      <c r="R28" s="108" t="s">
        <v>1044</v>
      </c>
      <c r="S28" s="469" t="s">
        <v>1035</v>
      </c>
    </row>
    <row r="29" spans="1:19">
      <c r="D29" s="511">
        <f>D28/I28</f>
        <v>0.1658815757598156</v>
      </c>
      <c r="E29" s="511">
        <f>E28/I28</f>
        <v>1.1178854660869715E-2</v>
      </c>
      <c r="F29" s="511">
        <f>F28/I28</f>
        <v>0.45121877921672471</v>
      </c>
      <c r="G29" s="511">
        <f>G28/I28</f>
        <v>4.7346966981490915E-3</v>
      </c>
      <c r="H29" s="511">
        <f>H28/I28</f>
        <v>0.36698609366444079</v>
      </c>
      <c r="I29" s="58"/>
      <c r="K29" s="93" t="s">
        <v>1018</v>
      </c>
      <c r="L29" s="35" t="s">
        <v>1019</v>
      </c>
      <c r="M29" s="35" t="s">
        <v>4</v>
      </c>
      <c r="N29" s="35">
        <f>Coal!F5/CtL!$D$4*100</f>
        <v>0.13478974588222789</v>
      </c>
      <c r="O29" s="35">
        <f>Coal!G5/CtL!$D$4*100</f>
        <v>4.7156118321311441E-3</v>
      </c>
      <c r="P29" s="35">
        <f>Coal!H5/CtL!$D$4*100-1</f>
        <v>1.028397565922921</v>
      </c>
      <c r="Q29" s="35">
        <f>'Oil-based'!I5</f>
        <v>2.7971572740058148E-3</v>
      </c>
      <c r="R29" s="35">
        <v>1</v>
      </c>
      <c r="S29" s="84">
        <f>SUM(N29:R29)</f>
        <v>2.1707000809112857</v>
      </c>
    </row>
    <row r="30" spans="1:19">
      <c r="K30" s="93" t="s">
        <v>1020</v>
      </c>
      <c r="L30" s="35" t="s">
        <v>1021</v>
      </c>
      <c r="M30" s="35" t="s">
        <v>4</v>
      </c>
      <c r="N30" s="35">
        <f>Coal!F6/CtL!$D$4*100</f>
        <v>4.0086573252884356E-3</v>
      </c>
      <c r="O30" s="35">
        <f>Coal!G6/CtL!$D$4*100</f>
        <v>1.2826969913911589E-3</v>
      </c>
      <c r="P30" s="35">
        <f>Coal!H6/CtL!$D$4*100</f>
        <v>0</v>
      </c>
      <c r="Q30" s="35">
        <f>'Oil-based'!I6</f>
        <v>5.4501075267156848E-4</v>
      </c>
      <c r="R30" s="35">
        <v>0</v>
      </c>
      <c r="S30" s="84">
        <f t="shared" ref="S30:S32" si="0">SUM(N30:R30)</f>
        <v>5.8363650693511633E-3</v>
      </c>
    </row>
    <row r="31" spans="1:19">
      <c r="K31" s="93" t="s">
        <v>1022</v>
      </c>
      <c r="L31" s="35" t="s">
        <v>1023</v>
      </c>
      <c r="M31" s="35" t="s">
        <v>4</v>
      </c>
      <c r="N31" s="35">
        <f>Coal!F7/CtL!$D$4*100</f>
        <v>5.2631130707445246E-3</v>
      </c>
      <c r="O31" s="35">
        <f>Coal!G7/CtL!$D$4*100</f>
        <v>2.4085209522547155E-2</v>
      </c>
      <c r="P31" s="35">
        <f>Coal!H7/CtL!$D$4*100</f>
        <v>0</v>
      </c>
      <c r="Q31" s="35">
        <f>'Oil-based'!I7</f>
        <v>8.9344246406559066E-3</v>
      </c>
      <c r="R31" s="35">
        <v>0</v>
      </c>
      <c r="S31" s="84">
        <f t="shared" si="0"/>
        <v>3.8282747233947589E-2</v>
      </c>
    </row>
    <row r="32" spans="1:19">
      <c r="K32" s="93" t="s">
        <v>1024</v>
      </c>
      <c r="L32" s="35" t="s">
        <v>1025</v>
      </c>
      <c r="M32" s="35" t="s">
        <v>4</v>
      </c>
      <c r="N32" s="35">
        <f>Coal!F8/CtL!$D$4*100</f>
        <v>0.14406151627826083</v>
      </c>
      <c r="O32" s="35">
        <f>Coal!G8/CtL!$D$4*100</f>
        <v>3.0083518346069461E-2</v>
      </c>
      <c r="P32" s="35">
        <f>Coal!H8/CtL!$D$4*100-1</f>
        <v>1.028397565922921</v>
      </c>
      <c r="Q32" s="35">
        <f>'Oil-based'!I8</f>
        <v>1.227659266733329E-2</v>
      </c>
      <c r="R32" s="35">
        <f>R29+R30+R31</f>
        <v>1</v>
      </c>
      <c r="S32" s="84">
        <f t="shared" si="0"/>
        <v>2.2148191932145846</v>
      </c>
    </row>
    <row r="33" spans="11:19">
      <c r="K33" s="93"/>
      <c r="L33" s="35"/>
      <c r="M33" s="35"/>
      <c r="N33" s="35"/>
      <c r="O33" s="35"/>
      <c r="P33" s="35"/>
      <c r="Q33" s="35"/>
      <c r="R33" s="35"/>
      <c r="S33" s="84"/>
    </row>
    <row r="34" spans="11:19">
      <c r="K34" s="93" t="s">
        <v>1026</v>
      </c>
      <c r="L34" s="35" t="s">
        <v>1027</v>
      </c>
      <c r="M34" s="35" t="s">
        <v>9</v>
      </c>
      <c r="N34" s="35">
        <f>Coal!F10/CtL!$D$4*100</f>
        <v>11.615515117146307</v>
      </c>
      <c r="O34" s="35">
        <f>Coal!G10/CtL!$D$4*100</f>
        <v>2.2017428847160572</v>
      </c>
      <c r="P34" s="35">
        <f>Coal!H10/CtL!$D$4*100-R34</f>
        <v>91.302434077079099</v>
      </c>
      <c r="Q34" s="35">
        <f>'Oil-based'!I10</f>
        <v>0.92646801250540411</v>
      </c>
      <c r="R34" s="380">
        <f>H28</f>
        <v>74.3</v>
      </c>
      <c r="S34" s="84">
        <f>SUM(N34:R34)</f>
        <v>180.34616009144685</v>
      </c>
    </row>
    <row r="35" spans="11:19">
      <c r="K35" s="93" t="s">
        <v>1028</v>
      </c>
      <c r="L35" s="35" t="s">
        <v>1029</v>
      </c>
      <c r="M35" s="35" t="s">
        <v>9</v>
      </c>
      <c r="N35" s="35">
        <f>Coal!F11/CtL!$D$4*100</f>
        <v>0.87875166754034839</v>
      </c>
      <c r="O35" s="35">
        <f>Coal!G11/CtL!$D$4*100</f>
        <v>2.455107663589977E-3</v>
      </c>
      <c r="P35" s="35">
        <f>Coal!H11/CtL!$D$4*100</f>
        <v>2.0283975659229213E-3</v>
      </c>
      <c r="Q35" s="35">
        <f>'Oil-based'!I11</f>
        <v>1.2840088857874684E-3</v>
      </c>
      <c r="R35" s="35">
        <v>0</v>
      </c>
      <c r="S35" s="84">
        <f t="shared" ref="S35:S37" si="1">SUM(N35:R35)</f>
        <v>0.8845191816556488</v>
      </c>
    </row>
    <row r="36" spans="11:19">
      <c r="K36" s="93" t="s">
        <v>1030</v>
      </c>
      <c r="L36" s="35" t="s">
        <v>1031</v>
      </c>
      <c r="M36" s="35" t="s">
        <v>10</v>
      </c>
      <c r="N36" s="35">
        <f>Coal!F12/CtL!$D$4*100</f>
        <v>2.5160435182314749E-4</v>
      </c>
      <c r="O36" s="35">
        <f>Coal!G12/CtL!$D$4*100</f>
        <v>5.0402868599769594E-4</v>
      </c>
      <c r="P36" s="35">
        <f>Coal!H12/CtL!$D$4*100</f>
        <v>2.0283975659229213E-3</v>
      </c>
      <c r="Q36" s="35">
        <f>'Oil-based'!I12</f>
        <v>6.1746642513664846E-5</v>
      </c>
      <c r="R36" s="35">
        <v>0</v>
      </c>
      <c r="S36" s="84">
        <f t="shared" si="1"/>
        <v>2.8457772462574297E-3</v>
      </c>
    </row>
    <row r="37" spans="11:19">
      <c r="K37" s="101" t="s">
        <v>1032</v>
      </c>
      <c r="L37" s="102" t="s">
        <v>1033</v>
      </c>
      <c r="M37" s="102" t="s">
        <v>9</v>
      </c>
      <c r="N37" s="102">
        <f>Coal!F13/CtL!$D$4*100</f>
        <v>33.584381783751851</v>
      </c>
      <c r="O37" s="102">
        <f>Coal!G13/CtL!$D$4*100</f>
        <v>2.2632707768542342</v>
      </c>
      <c r="P37" s="102">
        <f>Coal!H13/CtL!$D$4*100-R37</f>
        <v>91.35374847870186</v>
      </c>
      <c r="Q37" s="102">
        <f>'Oil-based'!I13</f>
        <v>0.95858663514955988</v>
      </c>
      <c r="R37" s="102">
        <f>R34+R35+R36</f>
        <v>74.3</v>
      </c>
      <c r="S37" s="473">
        <f t="shared" si="1"/>
        <v>202.45998767445752</v>
      </c>
    </row>
  </sheetData>
  <mergeCells count="1">
    <mergeCell ref="A3:A4"/>
  </mergeCells>
  <phoneticPr fontId="9" type="noConversion"/>
  <pageMargins left="0.7" right="0.7" top="0.75" bottom="0.75" header="0.3" footer="0.3"/>
  <pageSetup paperSize="9" orientation="portrait" verticalDpi="0" r:id="rId1"/>
  <drawing r:id="rId2"/>
  <legacyDrawing r:id="rId3"/>
  <oleObjects>
    <oleObject progId="Equation.DSMT4" shapeId="2049" r:id="rId4"/>
    <oleObject progId="Equation.DSMT4" shapeId="2050" r:id="rId5"/>
    <oleObject progId="Equation.DSMT4" shapeId="2051" r:id="rId6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37</vt:i4>
      </vt:variant>
      <vt:variant>
        <vt:lpstr>命名范围</vt:lpstr>
      </vt:variant>
      <vt:variant>
        <vt:i4>2</vt:i4>
      </vt:variant>
    </vt:vector>
  </HeadingPairs>
  <TitlesOfParts>
    <vt:vector size="39" baseType="lpstr">
      <vt:lpstr>Overview</vt:lpstr>
      <vt:lpstr>Key Input</vt:lpstr>
      <vt:lpstr>vehicle summary</vt:lpstr>
      <vt:lpstr>fuel summary</vt:lpstr>
      <vt:lpstr>NG-based</vt:lpstr>
      <vt:lpstr>NG-based (+1)</vt:lpstr>
      <vt:lpstr>NG-based (+2)</vt:lpstr>
      <vt:lpstr>Coal</vt:lpstr>
      <vt:lpstr>CtL</vt:lpstr>
      <vt:lpstr>CtL(CCS)</vt:lpstr>
      <vt:lpstr>Oil-based</vt:lpstr>
      <vt:lpstr>GridE</vt:lpstr>
      <vt:lpstr>LC for SE</vt:lpstr>
      <vt:lpstr>LC factor</vt:lpstr>
      <vt:lpstr>T&amp;D</vt:lpstr>
      <vt:lpstr>Overview (商用)</vt:lpstr>
      <vt:lpstr>Key Input (商用)</vt:lpstr>
      <vt:lpstr>LNG商用车结果 </vt:lpstr>
      <vt:lpstr>LNG船用结果</vt:lpstr>
      <vt:lpstr>PTW</vt:lpstr>
      <vt:lpstr>WTP&amp;WTW</vt:lpstr>
      <vt:lpstr>NG-based (2)</vt:lpstr>
      <vt:lpstr>Biofuel</vt:lpstr>
      <vt:lpstr>Coal-based</vt:lpstr>
      <vt:lpstr>EV</vt:lpstr>
      <vt:lpstr>total</vt:lpstr>
      <vt:lpstr>CtE(CCS)</vt:lpstr>
      <vt:lpstr>SNG(CCS)</vt:lpstr>
      <vt:lpstr>WTPs</vt:lpstr>
      <vt:lpstr>Vehicle</vt:lpstr>
      <vt:lpstr>WTW-micro EV</vt:lpstr>
      <vt:lpstr>WTW-small EV</vt:lpstr>
      <vt:lpstr>WTW -small-ctl n SNG v</vt:lpstr>
      <vt:lpstr>CO2 t&amp;s</vt:lpstr>
      <vt:lpstr>Water</vt:lpstr>
      <vt:lpstr>PV</vt:lpstr>
      <vt:lpstr>PV data</vt:lpstr>
      <vt:lpstr>'Key Input (商用)'!_ftn1</vt:lpstr>
      <vt:lpstr>'Key Input (商用)'!_ftnref1</vt:lpstr>
    </vt:vector>
  </TitlesOfParts>
  <Company>Tsinghua Uni.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 Xunmin</dc:creator>
  <cp:lastModifiedBy>user</cp:lastModifiedBy>
  <cp:lastPrinted>2010-03-31T07:24:41Z</cp:lastPrinted>
  <dcterms:created xsi:type="dcterms:W3CDTF">2009-11-12T03:19:42Z</dcterms:created>
  <dcterms:modified xsi:type="dcterms:W3CDTF">2013-07-26T02:56:54Z</dcterms:modified>
</cp:coreProperties>
</file>